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firstSheet="1" activeTab="2"/>
  </bookViews>
  <sheets>
    <sheet name="2019년 복지관 세입,세출총괄표" sheetId="13" r:id="rId1"/>
    <sheet name="2019년 복지관 세입" sheetId="2" r:id="rId2"/>
    <sheet name="2019년 복지관 세출" sheetId="9" r:id="rId3"/>
    <sheet name="상대계정 (최종-전입이월포함)" sheetId="6" r:id="rId4"/>
  </sheets>
  <definedNames>
    <definedName name="_xlnm.Print_Area" localSheetId="1">'2019년 복지관 세입'!$A$1:$W$95</definedName>
    <definedName name="_xlnm.Print_Area" localSheetId="2">'2019년 복지관 세출'!$A$1:$R$1191</definedName>
    <definedName name="_xlnm.Print_Area" localSheetId="3">'상대계정 (최종-전입이월포함)'!$A$1:$M$113</definedName>
    <definedName name="_xlnm.Print_Titles" localSheetId="1">'2019년 복지관 세입'!$1:$3</definedName>
    <definedName name="_xlnm.Print_Titles" localSheetId="2">'2019년 복지관 세출'!$1:$3</definedName>
  </definedNames>
  <calcPr calcId="152511"/>
</workbook>
</file>

<file path=xl/calcChain.xml><?xml version="1.0" encoding="utf-8"?>
<calcChain xmlns="http://schemas.openxmlformats.org/spreadsheetml/2006/main">
  <c r="D85" i="6" l="1"/>
  <c r="D88" i="6"/>
  <c r="R127" i="9" l="1"/>
  <c r="R931" i="9" l="1"/>
  <c r="R929" i="9" s="1"/>
  <c r="D9" i="6" l="1"/>
  <c r="R1158" i="9" l="1"/>
  <c r="D73" i="6"/>
  <c r="E73" i="6"/>
  <c r="E87" i="6"/>
  <c r="R765" i="9"/>
  <c r="D69" i="6"/>
  <c r="L82" i="6"/>
  <c r="D82" i="6"/>
  <c r="R17" i="2"/>
  <c r="K82" i="6" l="1"/>
  <c r="D70" i="6"/>
  <c r="D7" i="6"/>
  <c r="R45" i="2" l="1"/>
  <c r="R140" i="9" l="1"/>
  <c r="D78" i="6" l="1"/>
  <c r="R560" i="9"/>
  <c r="R559" i="9"/>
  <c r="R545" i="9" l="1"/>
  <c r="D94" i="6"/>
  <c r="K91" i="6"/>
  <c r="R158" i="9" l="1"/>
  <c r="R8" i="2" l="1"/>
  <c r="J135" i="9" l="1"/>
  <c r="R1190" i="9" l="1"/>
  <c r="H9" i="6"/>
  <c r="H112" i="6"/>
  <c r="R1177" i="9"/>
  <c r="R472" i="9"/>
  <c r="H76" i="6"/>
  <c r="R646" i="9"/>
  <c r="H108" i="6"/>
  <c r="H87" i="6"/>
  <c r="H94" i="6"/>
  <c r="H1" i="6"/>
  <c r="M68" i="6" l="1"/>
  <c r="R803" i="9"/>
  <c r="L95" i="6" l="1"/>
  <c r="D71" i="6"/>
  <c r="R688" i="9"/>
  <c r="R686" i="9"/>
  <c r="J93" i="9" l="1"/>
  <c r="R107" i="9"/>
  <c r="R93" i="9" l="1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7" i="9"/>
  <c r="R735" i="9" l="1"/>
  <c r="R683" i="9"/>
  <c r="R128" i="9" l="1"/>
  <c r="R121" i="9" l="1"/>
  <c r="R122" i="9"/>
  <c r="L106" i="9"/>
  <c r="R100" i="9"/>
  <c r="M97" i="13" l="1"/>
  <c r="N97" i="13" s="1"/>
  <c r="M95" i="13"/>
  <c r="N95" i="13" s="1"/>
  <c r="M93" i="13"/>
  <c r="N93" i="13" s="1"/>
  <c r="M91" i="13"/>
  <c r="N91" i="13" s="1"/>
  <c r="M89" i="13"/>
  <c r="N89" i="13" s="1"/>
  <c r="M87" i="13"/>
  <c r="N87" i="13" s="1"/>
  <c r="M85" i="13"/>
  <c r="N85" i="13" s="1"/>
  <c r="M83" i="13"/>
  <c r="N83" i="13" s="1"/>
  <c r="M81" i="13"/>
  <c r="N81" i="13" s="1"/>
  <c r="M79" i="13"/>
  <c r="N79" i="13" s="1"/>
  <c r="M77" i="13"/>
  <c r="N77" i="13" s="1"/>
  <c r="M75" i="13"/>
  <c r="N75" i="13" s="1"/>
  <c r="M66" i="13"/>
  <c r="N66" i="13" s="1"/>
  <c r="M64" i="13"/>
  <c r="N64" i="13" s="1"/>
  <c r="L62" i="13"/>
  <c r="K62" i="13"/>
  <c r="M60" i="13"/>
  <c r="N60" i="13" s="1"/>
  <c r="M58" i="13"/>
  <c r="N58" i="13" s="1"/>
  <c r="M56" i="13"/>
  <c r="N56" i="13" s="1"/>
  <c r="L54" i="13"/>
  <c r="K54" i="13"/>
  <c r="M52" i="13"/>
  <c r="N52" i="13" s="1"/>
  <c r="M50" i="13"/>
  <c r="N50" i="13" s="1"/>
  <c r="M48" i="13"/>
  <c r="N48" i="13" s="1"/>
  <c r="M46" i="13"/>
  <c r="N46" i="13" s="1"/>
  <c r="M44" i="13"/>
  <c r="N44" i="13" s="1"/>
  <c r="M42" i="13"/>
  <c r="N42" i="13" s="1"/>
  <c r="M40" i="13"/>
  <c r="N40" i="13" s="1"/>
  <c r="L31" i="13"/>
  <c r="K31" i="13"/>
  <c r="M29" i="13"/>
  <c r="N29" i="13" s="1"/>
  <c r="M27" i="13"/>
  <c r="N27" i="13" s="1"/>
  <c r="L25" i="13"/>
  <c r="K25" i="13"/>
  <c r="M23" i="13"/>
  <c r="N23" i="13" s="1"/>
  <c r="M21" i="13"/>
  <c r="N21" i="13" s="1"/>
  <c r="M19" i="13"/>
  <c r="N19" i="13" s="1"/>
  <c r="M17" i="13"/>
  <c r="N17" i="13" s="1"/>
  <c r="M14" i="13"/>
  <c r="N14" i="13" s="1"/>
  <c r="L11" i="13"/>
  <c r="K11" i="13"/>
  <c r="F25" i="13"/>
  <c r="G25" i="13" s="1"/>
  <c r="F23" i="13"/>
  <c r="F21" i="13"/>
  <c r="G21" i="13" s="1"/>
  <c r="F19" i="13"/>
  <c r="G19" i="13" s="1"/>
  <c r="F17" i="13"/>
  <c r="G17" i="13" s="1"/>
  <c r="F15" i="13"/>
  <c r="G15" i="13" s="1"/>
  <c r="F13" i="13"/>
  <c r="G13" i="13" s="1"/>
  <c r="F11" i="13"/>
  <c r="G11" i="13" s="1"/>
  <c r="E9" i="13"/>
  <c r="D9" i="13"/>
  <c r="D7" i="13" s="1"/>
  <c r="F9" i="13" l="1"/>
  <c r="G9" i="13" s="1"/>
  <c r="L9" i="13"/>
  <c r="L7" i="13" s="1"/>
  <c r="M54" i="13"/>
  <c r="N54" i="13" s="1"/>
  <c r="M31" i="13"/>
  <c r="N31" i="13" s="1"/>
  <c r="E7" i="13"/>
  <c r="F7" i="13" s="1"/>
  <c r="G7" i="13" s="1"/>
  <c r="M25" i="13"/>
  <c r="N25" i="13" s="1"/>
  <c r="M11" i="13"/>
  <c r="N11" i="13" s="1"/>
  <c r="M62" i="13"/>
  <c r="N62" i="13" s="1"/>
  <c r="K9" i="13"/>
  <c r="K7" i="13" s="1"/>
  <c r="I9" i="6"/>
  <c r="M7" i="13" l="1"/>
  <c r="N7" i="13" s="1"/>
  <c r="M9" i="13"/>
  <c r="N9" i="13" s="1"/>
  <c r="D116" i="6" l="1"/>
  <c r="E116" i="6"/>
  <c r="F116" i="6"/>
  <c r="G116" i="6"/>
  <c r="H116" i="6"/>
  <c r="I116" i="6"/>
  <c r="J116" i="6"/>
  <c r="K116" i="6"/>
  <c r="L116" i="6"/>
  <c r="D117" i="6"/>
  <c r="E117" i="6"/>
  <c r="F117" i="6"/>
  <c r="G117" i="6"/>
  <c r="H117" i="6"/>
  <c r="I117" i="6"/>
  <c r="J117" i="6"/>
  <c r="K117" i="6"/>
  <c r="L117" i="6"/>
  <c r="D118" i="6"/>
  <c r="E118" i="6"/>
  <c r="F118" i="6"/>
  <c r="G118" i="6"/>
  <c r="H118" i="6"/>
  <c r="I118" i="6"/>
  <c r="J118" i="6"/>
  <c r="K118" i="6"/>
  <c r="L118" i="6"/>
  <c r="D119" i="6"/>
  <c r="E119" i="6"/>
  <c r="F119" i="6"/>
  <c r="G119" i="6"/>
  <c r="H119" i="6"/>
  <c r="I119" i="6"/>
  <c r="J119" i="6"/>
  <c r="K119" i="6"/>
  <c r="L119" i="6"/>
  <c r="F120" i="6"/>
  <c r="G120" i="6"/>
  <c r="I120" i="6"/>
  <c r="K120" i="6"/>
  <c r="L120" i="6"/>
  <c r="D121" i="6"/>
  <c r="E121" i="6"/>
  <c r="F121" i="6"/>
  <c r="G121" i="6"/>
  <c r="H121" i="6"/>
  <c r="I121" i="6"/>
  <c r="J121" i="6"/>
  <c r="K121" i="6"/>
  <c r="L121" i="6"/>
  <c r="D122" i="6"/>
  <c r="E122" i="6"/>
  <c r="F122" i="6"/>
  <c r="G122" i="6"/>
  <c r="H122" i="6"/>
  <c r="I122" i="6"/>
  <c r="J122" i="6"/>
  <c r="K122" i="6"/>
  <c r="L122" i="6"/>
  <c r="R55" i="2" l="1"/>
  <c r="W19" i="2" l="1"/>
  <c r="R550" i="9"/>
  <c r="R549" i="9"/>
  <c r="D113" i="6" l="1"/>
  <c r="D120" i="6"/>
  <c r="E94" i="6"/>
  <c r="R41" i="2"/>
  <c r="E71" i="6"/>
  <c r="E120" i="6" l="1"/>
  <c r="M74" i="6"/>
  <c r="M75" i="6"/>
  <c r="M76" i="6"/>
  <c r="M77" i="6"/>
  <c r="M79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C71" i="6"/>
  <c r="C113" i="6" s="1"/>
  <c r="J80" i="6"/>
  <c r="M78" i="6"/>
  <c r="H120" i="6"/>
  <c r="M80" i="6" l="1"/>
  <c r="J120" i="6"/>
  <c r="M94" i="6"/>
  <c r="R192" i="9" l="1"/>
  <c r="R114" i="9" l="1"/>
  <c r="R113" i="9"/>
  <c r="R112" i="9"/>
  <c r="R111" i="9"/>
  <c r="R110" i="9"/>
  <c r="R109" i="9"/>
  <c r="R125" i="9"/>
  <c r="R124" i="9"/>
  <c r="R292" i="9" l="1"/>
  <c r="R293" i="9"/>
  <c r="R294" i="9"/>
  <c r="R295" i="9"/>
  <c r="R287" i="9" l="1"/>
  <c r="R437" i="9"/>
  <c r="R324" i="9"/>
  <c r="R783" i="9"/>
  <c r="R782" i="9"/>
  <c r="R776" i="9"/>
  <c r="R774" i="9"/>
  <c r="R773" i="9"/>
  <c r="R771" i="9"/>
  <c r="R172" i="9"/>
  <c r="R910" i="9"/>
  <c r="R909" i="9"/>
  <c r="R908" i="9"/>
  <c r="R907" i="9" l="1"/>
  <c r="R135" i="9"/>
  <c r="R154" i="9"/>
  <c r="R23" i="9"/>
  <c r="R22" i="9"/>
  <c r="E424" i="9" l="1"/>
  <c r="R459" i="9"/>
  <c r="T459" i="9" s="1"/>
  <c r="F456" i="9" s="1"/>
  <c r="G454" i="9" s="1"/>
  <c r="H454" i="9" s="1"/>
  <c r="R465" i="9"/>
  <c r="T465" i="9" s="1"/>
  <c r="F462" i="9" s="1"/>
  <c r="G460" i="9" s="1"/>
  <c r="H460" i="9" s="1"/>
  <c r="R189" i="9"/>
  <c r="R859" i="9" l="1"/>
  <c r="R760" i="9" l="1"/>
  <c r="R761" i="9"/>
  <c r="R1176" i="9" l="1"/>
  <c r="R1175" i="9"/>
  <c r="R1173" i="9"/>
  <c r="R1172" i="9"/>
  <c r="R1171" i="9"/>
  <c r="R1170" i="9"/>
  <c r="R1169" i="9"/>
  <c r="R1162" i="9"/>
  <c r="R1165" i="9"/>
  <c r="R1159" i="9"/>
  <c r="J1160" i="9" l="1"/>
  <c r="R1160" i="9" s="1"/>
  <c r="J1161" i="9"/>
  <c r="R1161" i="9" s="1"/>
  <c r="R553" i="9"/>
  <c r="R253" i="9"/>
  <c r="R199" i="9"/>
  <c r="R207" i="9"/>
  <c r="R186" i="9"/>
  <c r="R178" i="9"/>
  <c r="R179" i="9"/>
  <c r="R180" i="9"/>
  <c r="R32" i="2" l="1"/>
  <c r="E1013" i="9" l="1"/>
  <c r="R1011" i="9"/>
  <c r="E915" i="9"/>
  <c r="E21" i="2"/>
  <c r="E479" i="9" l="1"/>
  <c r="F1044" i="9" l="1"/>
  <c r="F1041" i="9"/>
  <c r="R453" i="9"/>
  <c r="T453" i="9" s="1"/>
  <c r="F450" i="9" s="1"/>
  <c r="G448" i="9" s="1"/>
  <c r="H448" i="9" s="1"/>
  <c r="R471" i="9"/>
  <c r="T471" i="9" s="1"/>
  <c r="F468" i="9" s="1"/>
  <c r="G466" i="9" s="1"/>
  <c r="H466" i="9" s="1"/>
  <c r="R923" i="9"/>
  <c r="R412" i="9"/>
  <c r="R329" i="9"/>
  <c r="R328" i="9"/>
  <c r="R322" i="9"/>
  <c r="R314" i="9"/>
  <c r="G1041" i="9" l="1"/>
  <c r="H1041" i="9" s="1"/>
  <c r="R360" i="9"/>
  <c r="R359" i="9"/>
  <c r="R347" i="9"/>
  <c r="R444" i="9"/>
  <c r="R443" i="9" s="1"/>
  <c r="R442" i="9"/>
  <c r="R441" i="9"/>
  <c r="R440" i="9"/>
  <c r="R434" i="9"/>
  <c r="R433" i="9"/>
  <c r="R702" i="9" l="1"/>
  <c r="R487" i="9"/>
  <c r="R641" i="9"/>
  <c r="R639" i="9"/>
  <c r="R640" i="9"/>
  <c r="R633" i="9"/>
  <c r="R628" i="9" l="1"/>
  <c r="R627" i="9"/>
  <c r="R626" i="9"/>
  <c r="R624" i="9"/>
  <c r="R622" i="9"/>
  <c r="R620" i="9"/>
  <c r="R613" i="9"/>
  <c r="R612" i="9"/>
  <c r="R607" i="9"/>
  <c r="R606" i="9"/>
  <c r="R604" i="9"/>
  <c r="R590" i="9"/>
  <c r="R588" i="9"/>
  <c r="R586" i="9"/>
  <c r="R554" i="9"/>
  <c r="R537" i="9"/>
  <c r="R548" i="9"/>
  <c r="R546" i="9"/>
  <c r="R522" i="9"/>
  <c r="R519" i="9"/>
  <c r="R518" i="9"/>
  <c r="R509" i="9"/>
  <c r="R508" i="9"/>
  <c r="R507" i="9"/>
  <c r="R505" i="9"/>
  <c r="R504" i="9"/>
  <c r="R502" i="9"/>
  <c r="R533" i="9"/>
  <c r="R532" i="9"/>
  <c r="R531" i="9"/>
  <c r="R530" i="9"/>
  <c r="R529" i="9"/>
  <c r="R534" i="9"/>
  <c r="R527" i="9"/>
  <c r="R552" i="9" l="1"/>
  <c r="R746" i="9"/>
  <c r="R1124" i="9"/>
  <c r="R1120" i="9"/>
  <c r="R1108" i="9"/>
  <c r="R1089" i="9"/>
  <c r="R1088" i="9"/>
  <c r="R1074" i="9"/>
  <c r="R1038" i="9"/>
  <c r="R1037" i="9"/>
  <c r="R1036" i="9"/>
  <c r="R1035" i="9"/>
  <c r="R1034" i="9"/>
  <c r="R1033" i="9"/>
  <c r="R1032" i="9"/>
  <c r="R1031" i="9"/>
  <c r="R1030" i="9"/>
  <c r="R1029" i="9"/>
  <c r="R1028" i="9"/>
  <c r="R1027" i="9"/>
  <c r="R1025" i="9"/>
  <c r="F1025" i="9"/>
  <c r="R898" i="9"/>
  <c r="R897" i="9"/>
  <c r="R896" i="9"/>
  <c r="R895" i="9"/>
  <c r="R863" i="9"/>
  <c r="R864" i="9"/>
  <c r="R865" i="9"/>
  <c r="R884" i="9"/>
  <c r="R42" i="2"/>
  <c r="R841" i="9"/>
  <c r="R840" i="9" s="1"/>
  <c r="R1040" i="9" l="1"/>
  <c r="T1040" i="9" s="1"/>
  <c r="F1026" i="9" s="1"/>
  <c r="G1025" i="9" s="1"/>
  <c r="H1025" i="9" s="1"/>
  <c r="R894" i="9"/>
  <c r="R724" i="9" l="1"/>
  <c r="S726" i="9" s="1"/>
  <c r="R698" i="9"/>
  <c r="R947" i="9" l="1"/>
  <c r="R734" i="9"/>
  <c r="R684" i="9"/>
  <c r="R749" i="9" l="1"/>
  <c r="R748" i="9"/>
  <c r="R747" i="9"/>
  <c r="R745" i="9"/>
  <c r="R751" i="9" l="1"/>
  <c r="R212" i="9" l="1"/>
  <c r="F113" i="6" l="1"/>
  <c r="I113" i="6"/>
  <c r="G113" i="6" l="1"/>
  <c r="R230" i="9" l="1"/>
  <c r="R1068" i="9" l="1"/>
  <c r="R792" i="9" l="1"/>
  <c r="R477" i="9" l="1"/>
  <c r="T477" i="9" s="1"/>
  <c r="F474" i="9" l="1"/>
  <c r="G472" i="9" s="1"/>
  <c r="H472" i="9" s="1"/>
  <c r="W27" i="2"/>
  <c r="F264" i="9" l="1"/>
  <c r="R266" i="9" l="1"/>
  <c r="F393" i="9" l="1"/>
  <c r="F402" i="9"/>
  <c r="F407" i="9"/>
  <c r="F397" i="9"/>
  <c r="R407" i="9" l="1"/>
  <c r="R406" i="9"/>
  <c r="R1191" i="9" l="1"/>
  <c r="T1191" i="9" s="1"/>
  <c r="F1191" i="9" s="1"/>
  <c r="F1189" i="9"/>
  <c r="R1188" i="9"/>
  <c r="T1188" i="9" s="1"/>
  <c r="F1188" i="9" s="1"/>
  <c r="F1187" i="9"/>
  <c r="F1183" i="9"/>
  <c r="F1180" i="9" s="1"/>
  <c r="S1182" i="9"/>
  <c r="E1182" i="9"/>
  <c r="R1179" i="9"/>
  <c r="T1179" i="9" s="1"/>
  <c r="F1178" i="9" s="1"/>
  <c r="F1168" i="9"/>
  <c r="R1164" i="9"/>
  <c r="F1158" i="9"/>
  <c r="S1157" i="9"/>
  <c r="E1157" i="9"/>
  <c r="E1155" i="9"/>
  <c r="R1154" i="9"/>
  <c r="T1154" i="9" s="1"/>
  <c r="F1150" i="9" s="1"/>
  <c r="F1144" i="9"/>
  <c r="R1143" i="9"/>
  <c r="T1143" i="9" s="1"/>
  <c r="F1143" i="9" s="1"/>
  <c r="F1141" i="9"/>
  <c r="S1140" i="9"/>
  <c r="E1140" i="9"/>
  <c r="E1138" i="9"/>
  <c r="R1133" i="9"/>
  <c r="R1132" i="9"/>
  <c r="R1131" i="9"/>
  <c r="R1130" i="9"/>
  <c r="R1129" i="9"/>
  <c r="R1128" i="9"/>
  <c r="R1127" i="9"/>
  <c r="R1126" i="9"/>
  <c r="R1125" i="9"/>
  <c r="R1121" i="9"/>
  <c r="R1119" i="9"/>
  <c r="R1118" i="9"/>
  <c r="R1117" i="9"/>
  <c r="R1116" i="9"/>
  <c r="R1115" i="9"/>
  <c r="R1114" i="9"/>
  <c r="R1113" i="9"/>
  <c r="R1110" i="9"/>
  <c r="R1109" i="9"/>
  <c r="R1107" i="9"/>
  <c r="R1106" i="9"/>
  <c r="R1105" i="9"/>
  <c r="R1102" i="9"/>
  <c r="R1101" i="9"/>
  <c r="R1100" i="9"/>
  <c r="R1099" i="9"/>
  <c r="R1098" i="9"/>
  <c r="R1097" i="9"/>
  <c r="R1096" i="9"/>
  <c r="R1095" i="9"/>
  <c r="R1094" i="9"/>
  <c r="R1093" i="9"/>
  <c r="R1090" i="9"/>
  <c r="R1087" i="9"/>
  <c r="R1086" i="9"/>
  <c r="R1085" i="9"/>
  <c r="R1084" i="9"/>
  <c r="R1083" i="9"/>
  <c r="R1080" i="9"/>
  <c r="R1077" i="9"/>
  <c r="R1076" i="9"/>
  <c r="R1075" i="9"/>
  <c r="R1073" i="9"/>
  <c r="R1072" i="9" s="1"/>
  <c r="R1069" i="9"/>
  <c r="R1067" i="9"/>
  <c r="R1059" i="9"/>
  <c r="F1053" i="9"/>
  <c r="S1052" i="9"/>
  <c r="E1052" i="9"/>
  <c r="R1046" i="9"/>
  <c r="R1045" i="9"/>
  <c r="F1045" i="9"/>
  <c r="R1020" i="9"/>
  <c r="F1020" i="9"/>
  <c r="F1014" i="9"/>
  <c r="S1013" i="9"/>
  <c r="E1012" i="9"/>
  <c r="S1011" i="9"/>
  <c r="T1011" i="9" s="1"/>
  <c r="F1009" i="9" s="1"/>
  <c r="R1005" i="9"/>
  <c r="R1004" i="9"/>
  <c r="R1003" i="9"/>
  <c r="R1002" i="9"/>
  <c r="F1002" i="9"/>
  <c r="R999" i="9"/>
  <c r="R998" i="9"/>
  <c r="R997" i="9"/>
  <c r="R996" i="9"/>
  <c r="R995" i="9"/>
  <c r="F995" i="9"/>
  <c r="S994" i="9"/>
  <c r="F991" i="9" s="1"/>
  <c r="R994" i="9"/>
  <c r="S990" i="9"/>
  <c r="F987" i="9" s="1"/>
  <c r="R990" i="9"/>
  <c r="S986" i="9"/>
  <c r="R986" i="9"/>
  <c r="R982" i="9"/>
  <c r="T982" i="9" s="1"/>
  <c r="F981" i="9" s="1"/>
  <c r="F979" i="9"/>
  <c r="F975" i="9"/>
  <c r="R978" i="9"/>
  <c r="R974" i="9"/>
  <c r="T974" i="9" s="1"/>
  <c r="F967" i="9" s="1"/>
  <c r="G965" i="9" s="1"/>
  <c r="H965" i="9" s="1"/>
  <c r="F959" i="9"/>
  <c r="R955" i="9"/>
  <c r="R954" i="9"/>
  <c r="R953" i="9"/>
  <c r="R952" i="9"/>
  <c r="R949" i="9"/>
  <c r="F949" i="9"/>
  <c r="R946" i="9"/>
  <c r="R945" i="9"/>
  <c r="R944" i="9"/>
  <c r="R943" i="9"/>
  <c r="R942" i="9"/>
  <c r="R941" i="9"/>
  <c r="R939" i="9"/>
  <c r="R938" i="9"/>
  <c r="R937" i="9"/>
  <c r="R935" i="9"/>
  <c r="F935" i="9"/>
  <c r="R927" i="9"/>
  <c r="R926" i="9" s="1"/>
  <c r="R921" i="9"/>
  <c r="R920" i="9"/>
  <c r="R919" i="9"/>
  <c r="E913" i="9"/>
  <c r="S912" i="9"/>
  <c r="T912" i="9" s="1"/>
  <c r="F909" i="9" s="1"/>
  <c r="R906" i="9"/>
  <c r="T906" i="9" s="1"/>
  <c r="F905" i="9" s="1"/>
  <c r="F903" i="9"/>
  <c r="R892" i="9"/>
  <c r="R891" i="9"/>
  <c r="R890" i="9"/>
  <c r="R889" i="9"/>
  <c r="R888" i="9"/>
  <c r="R885" i="9"/>
  <c r="R883" i="9"/>
  <c r="R882" i="9"/>
  <c r="R881" i="9"/>
  <c r="R880" i="9"/>
  <c r="R879" i="9"/>
  <c r="R878" i="9"/>
  <c r="R877" i="9"/>
  <c r="R876" i="9"/>
  <c r="R875" i="9"/>
  <c r="R872" i="9"/>
  <c r="R871" i="9"/>
  <c r="R870" i="9"/>
  <c r="R869" i="9"/>
  <c r="R868" i="9"/>
  <c r="R858" i="9"/>
  <c r="R857" i="9"/>
  <c r="F856" i="9"/>
  <c r="R852" i="9"/>
  <c r="R851" i="9" s="1"/>
  <c r="R849" i="9"/>
  <c r="R848" i="9"/>
  <c r="R845" i="9"/>
  <c r="R844" i="9" s="1"/>
  <c r="R838" i="9"/>
  <c r="R837" i="9" s="1"/>
  <c r="R836" i="9"/>
  <c r="R835" i="9"/>
  <c r="R834" i="9"/>
  <c r="R832" i="9"/>
  <c r="R831" i="9"/>
  <c r="R830" i="9"/>
  <c r="R829" i="9"/>
  <c r="R828" i="9"/>
  <c r="R827" i="9"/>
  <c r="R825" i="9"/>
  <c r="R824" i="9"/>
  <c r="R823" i="9"/>
  <c r="R820" i="9"/>
  <c r="R819" i="9"/>
  <c r="R818" i="9"/>
  <c r="R817" i="9"/>
  <c r="R814" i="9"/>
  <c r="R813" i="9"/>
  <c r="R812" i="9"/>
  <c r="R809" i="9"/>
  <c r="R808" i="9"/>
  <c r="R805" i="9"/>
  <c r="R802" i="9"/>
  <c r="R801" i="9"/>
  <c r="F800" i="9"/>
  <c r="E798" i="9"/>
  <c r="E796" i="9"/>
  <c r="R793" i="9"/>
  <c r="R791" i="9"/>
  <c r="F791" i="9"/>
  <c r="R788" i="9"/>
  <c r="R787" i="9"/>
  <c r="F786" i="9"/>
  <c r="F770" i="9"/>
  <c r="S769" i="9"/>
  <c r="E769" i="9"/>
  <c r="E768" i="9"/>
  <c r="R763" i="9"/>
  <c r="R762" i="9"/>
  <c r="R759" i="9"/>
  <c r="R754" i="9"/>
  <c r="R753" i="9"/>
  <c r="R752" i="9"/>
  <c r="F752" i="9"/>
  <c r="F745" i="9"/>
  <c r="R739" i="9"/>
  <c r="R738" i="9"/>
  <c r="R742" i="9"/>
  <c r="R741" i="9"/>
  <c r="R740" i="9"/>
  <c r="R736" i="9"/>
  <c r="R733" i="9"/>
  <c r="R732" i="9"/>
  <c r="R731" i="9" s="1"/>
  <c r="F731" i="9"/>
  <c r="R728" i="9"/>
  <c r="R730" i="9" s="1"/>
  <c r="F727" i="9"/>
  <c r="R723" i="9"/>
  <c r="R722" i="9"/>
  <c r="R721" i="9"/>
  <c r="R720" i="9"/>
  <c r="R719" i="9"/>
  <c r="R718" i="9"/>
  <c r="R716" i="9"/>
  <c r="R715" i="9"/>
  <c r="R713" i="9"/>
  <c r="R712" i="9"/>
  <c r="R711" i="9"/>
  <c r="F710" i="9"/>
  <c r="R705" i="9"/>
  <c r="R709" i="9" s="1"/>
  <c r="T709" i="9" s="1"/>
  <c r="F705" i="9" s="1"/>
  <c r="F702" i="9"/>
  <c r="R697" i="9"/>
  <c r="R696" i="9" s="1"/>
  <c r="R695" i="9"/>
  <c r="R694" i="9"/>
  <c r="R692" i="9"/>
  <c r="R691" i="9"/>
  <c r="R689" i="9"/>
  <c r="R682" i="9"/>
  <c r="S700" i="9" s="1"/>
  <c r="R681" i="9"/>
  <c r="R680" i="9" s="1"/>
  <c r="R679" i="9"/>
  <c r="R678" i="9"/>
  <c r="R677" i="9"/>
  <c r="R665" i="9"/>
  <c r="F663" i="9"/>
  <c r="E662" i="9"/>
  <c r="E661" i="9"/>
  <c r="R660" i="9"/>
  <c r="T660" i="9" s="1"/>
  <c r="F656" i="9" s="1"/>
  <c r="F655" i="9"/>
  <c r="F649" i="9"/>
  <c r="R645" i="9"/>
  <c r="R644" i="9"/>
  <c r="R643" i="9"/>
  <c r="R638" i="9"/>
  <c r="R637" i="9"/>
  <c r="R635" i="9"/>
  <c r="R634" i="9" s="1"/>
  <c r="R632" i="9"/>
  <c r="R631" i="9"/>
  <c r="R630" i="9"/>
  <c r="R618" i="9"/>
  <c r="R616" i="9" s="1"/>
  <c r="R610" i="9"/>
  <c r="R609" i="9"/>
  <c r="R603" i="9"/>
  <c r="R602" i="9"/>
  <c r="R601" i="9"/>
  <c r="R600" i="9"/>
  <c r="R599" i="9"/>
  <c r="R596" i="9"/>
  <c r="R595" i="9"/>
  <c r="R584" i="9"/>
  <c r="R582" i="9"/>
  <c r="R580" i="9"/>
  <c r="R578" i="9"/>
  <c r="R576" i="9"/>
  <c r="F573" i="9"/>
  <c r="R572" i="9"/>
  <c r="T572" i="9" s="1"/>
  <c r="F563" i="9" s="1"/>
  <c r="F562" i="9"/>
  <c r="R558" i="9"/>
  <c r="R547" i="9"/>
  <c r="R544" i="9" s="1"/>
  <c r="R543" i="9"/>
  <c r="R542" i="9"/>
  <c r="R540" i="9"/>
  <c r="R539" i="9"/>
  <c r="R526" i="9"/>
  <c r="R521" i="9"/>
  <c r="R516" i="9"/>
  <c r="R515" i="9"/>
  <c r="R501" i="9"/>
  <c r="R499" i="9"/>
  <c r="F498" i="9"/>
  <c r="R495" i="9"/>
  <c r="R494" i="9"/>
  <c r="R492" i="9"/>
  <c r="R491" i="9"/>
  <c r="R489" i="9"/>
  <c r="R488" i="9"/>
  <c r="R486" i="9"/>
  <c r="R485" i="9"/>
  <c r="R483" i="9"/>
  <c r="R482" i="9"/>
  <c r="R481" i="9"/>
  <c r="F480" i="9"/>
  <c r="S479" i="9"/>
  <c r="E478" i="9"/>
  <c r="R439" i="9"/>
  <c r="R438" i="9"/>
  <c r="R436" i="9"/>
  <c r="R431" i="9"/>
  <c r="R430" i="9"/>
  <c r="R429" i="9"/>
  <c r="R427" i="9"/>
  <c r="R426" i="9"/>
  <c r="S424" i="9"/>
  <c r="F423" i="9"/>
  <c r="E423" i="9"/>
  <c r="R420" i="9"/>
  <c r="R419" i="9"/>
  <c r="R418" i="9"/>
  <c r="R417" i="9"/>
  <c r="R411" i="9"/>
  <c r="G405" i="9"/>
  <c r="H405" i="9" s="1"/>
  <c r="R402" i="9"/>
  <c r="R401" i="9"/>
  <c r="G400" i="9"/>
  <c r="H400" i="9" s="1"/>
  <c r="R397" i="9"/>
  <c r="R396" i="9"/>
  <c r="R395" i="9"/>
  <c r="G395" i="9"/>
  <c r="H395" i="9" s="1"/>
  <c r="R391" i="9"/>
  <c r="R394" i="9" s="1"/>
  <c r="G391" i="9"/>
  <c r="H391" i="9" s="1"/>
  <c r="G387" i="9"/>
  <c r="H387" i="9" s="1"/>
  <c r="G383" i="9"/>
  <c r="H383" i="9" s="1"/>
  <c r="R380" i="9"/>
  <c r="R379" i="9"/>
  <c r="R378" i="9"/>
  <c r="R377" i="9"/>
  <c r="R376" i="9"/>
  <c r="R375" i="9"/>
  <c r="R374" i="9"/>
  <c r="R372" i="9"/>
  <c r="R371" i="9"/>
  <c r="R370" i="9"/>
  <c r="R365" i="9"/>
  <c r="R364" i="9"/>
  <c r="R363" i="9"/>
  <c r="R361" i="9"/>
  <c r="R354" i="9"/>
  <c r="R353" i="9"/>
  <c r="R352" i="9"/>
  <c r="R351" i="9"/>
  <c r="R350" i="9"/>
  <c r="R348" i="9"/>
  <c r="R344" i="9"/>
  <c r="R343" i="9"/>
  <c r="R342" i="9"/>
  <c r="R335" i="9"/>
  <c r="R327" i="9"/>
  <c r="R326" i="9" s="1"/>
  <c r="R325" i="9"/>
  <c r="R323" i="9"/>
  <c r="R321" i="9"/>
  <c r="R320" i="9"/>
  <c r="R318" i="9"/>
  <c r="R316" i="9"/>
  <c r="R315" i="9"/>
  <c r="R313" i="9"/>
  <c r="R312" i="9"/>
  <c r="R309" i="9"/>
  <c r="R308" i="9"/>
  <c r="R307" i="9"/>
  <c r="R305" i="9"/>
  <c r="R304" i="9"/>
  <c r="R303" i="9"/>
  <c r="R299" i="9"/>
  <c r="F299" i="9"/>
  <c r="F291" i="9"/>
  <c r="R286" i="9"/>
  <c r="R284" i="9"/>
  <c r="R283" i="9"/>
  <c r="R282" i="9"/>
  <c r="R280" i="9"/>
  <c r="R279" i="9"/>
  <c r="R278" i="9"/>
  <c r="E276" i="9"/>
  <c r="E274" i="9"/>
  <c r="R265" i="9"/>
  <c r="R264" i="9"/>
  <c r="R257" i="9"/>
  <c r="R263" i="9" s="1"/>
  <c r="T263" i="9" s="1"/>
  <c r="F259" i="9" s="1"/>
  <c r="F257" i="9"/>
  <c r="R256" i="9"/>
  <c r="F253" i="9"/>
  <c r="S252" i="9"/>
  <c r="E252" i="9"/>
  <c r="E251" i="9"/>
  <c r="R247" i="9"/>
  <c r="R250" i="9" s="1"/>
  <c r="T250" i="9" s="1"/>
  <c r="F249" i="9" s="1"/>
  <c r="F247" i="9"/>
  <c r="R244" i="9"/>
  <c r="R243" i="9"/>
  <c r="F243" i="9"/>
  <c r="R240" i="9"/>
  <c r="R239" i="9"/>
  <c r="R238" i="9"/>
  <c r="R237" i="9"/>
  <c r="R234" i="9"/>
  <c r="R233" i="9"/>
  <c r="R232" i="9"/>
  <c r="R231" i="9"/>
  <c r="R229" i="9"/>
  <c r="R228" i="9"/>
  <c r="R227" i="9"/>
  <c r="R226" i="9"/>
  <c r="R225" i="9"/>
  <c r="R223" i="9"/>
  <c r="R222" i="9"/>
  <c r="R218" i="9"/>
  <c r="R217" i="9"/>
  <c r="R216" i="9"/>
  <c r="R215" i="9"/>
  <c r="R214" i="9"/>
  <c r="R213" i="9"/>
  <c r="R211" i="9"/>
  <c r="R208" i="9"/>
  <c r="R206" i="9"/>
  <c r="R205" i="9"/>
  <c r="R204" i="9"/>
  <c r="R203" i="9"/>
  <c r="R202" i="9"/>
  <c r="R201" i="9"/>
  <c r="R200" i="9"/>
  <c r="R198" i="9"/>
  <c r="R197" i="9"/>
  <c r="R196" i="9"/>
  <c r="R195" i="9"/>
  <c r="R194" i="9"/>
  <c r="R193" i="9"/>
  <c r="R191" i="9"/>
  <c r="R190" i="9"/>
  <c r="R188" i="9"/>
  <c r="R187" i="9"/>
  <c r="R184" i="9"/>
  <c r="R183" i="9"/>
  <c r="R182" i="9"/>
  <c r="R181" i="9"/>
  <c r="R177" i="9"/>
  <c r="R176" i="9"/>
  <c r="R173" i="9"/>
  <c r="R171" i="9"/>
  <c r="S175" i="9" s="1"/>
  <c r="F171" i="9" s="1"/>
  <c r="E170" i="9"/>
  <c r="E169" i="9"/>
  <c r="R167" i="9"/>
  <c r="R166" i="9"/>
  <c r="R165" i="9"/>
  <c r="R163" i="9"/>
  <c r="R164" i="9" s="1"/>
  <c r="S162" i="9"/>
  <c r="E162" i="9"/>
  <c r="F161" i="9"/>
  <c r="E161" i="9"/>
  <c r="R156" i="9"/>
  <c r="F154" i="9"/>
  <c r="R126" i="9"/>
  <c r="R123" i="9"/>
  <c r="R120" i="9"/>
  <c r="R119" i="9"/>
  <c r="R118" i="9"/>
  <c r="R117" i="9"/>
  <c r="R116" i="9"/>
  <c r="R115" i="9"/>
  <c r="R108" i="9"/>
  <c r="R106" i="9"/>
  <c r="R105" i="9"/>
  <c r="R104" i="9"/>
  <c r="S95" i="9"/>
  <c r="R92" i="9"/>
  <c r="J150" i="9" s="1"/>
  <c r="R150" i="9" s="1"/>
  <c r="R91" i="9"/>
  <c r="R90" i="9"/>
  <c r="R87" i="9"/>
  <c r="R86" i="9"/>
  <c r="R85" i="9"/>
  <c r="R84" i="9"/>
  <c r="R83" i="9"/>
  <c r="R82" i="9"/>
  <c r="R81" i="9"/>
  <c r="R80" i="9"/>
  <c r="R79" i="9"/>
  <c r="R78" i="9"/>
  <c r="R77" i="9"/>
  <c r="R76" i="9"/>
  <c r="R75" i="9"/>
  <c r="R74" i="9"/>
  <c r="R73" i="9"/>
  <c r="R72" i="9"/>
  <c r="R39" i="9"/>
  <c r="R38" i="9"/>
  <c r="R37" i="9"/>
  <c r="R36" i="9"/>
  <c r="R35" i="9"/>
  <c r="R34" i="9"/>
  <c r="R33" i="9"/>
  <c r="R32" i="9"/>
  <c r="R31" i="9"/>
  <c r="R30" i="9"/>
  <c r="R29" i="9"/>
  <c r="R28" i="9"/>
  <c r="R27" i="9"/>
  <c r="R26" i="9"/>
  <c r="R25" i="9"/>
  <c r="R24" i="9"/>
  <c r="R21" i="9"/>
  <c r="R20" i="9"/>
  <c r="R19" i="9"/>
  <c r="R18" i="9"/>
  <c r="R17" i="9"/>
  <c r="R16" i="9"/>
  <c r="R15" i="9"/>
  <c r="R14" i="9"/>
  <c r="R13" i="9"/>
  <c r="R12" i="9"/>
  <c r="E9" i="9"/>
  <c r="E8" i="9"/>
  <c r="R685" i="9" l="1"/>
  <c r="R94" i="9"/>
  <c r="S94" i="9" s="1"/>
  <c r="S130" i="9"/>
  <c r="F98" i="9" s="1"/>
  <c r="R536" i="9"/>
  <c r="J133" i="9"/>
  <c r="J145" i="9" s="1"/>
  <c r="R319" i="9"/>
  <c r="R317" i="9" s="1"/>
  <c r="R574" i="9"/>
  <c r="R435" i="9"/>
  <c r="S242" i="9"/>
  <c r="F237" i="9" s="1"/>
  <c r="R1167" i="9"/>
  <c r="T1167" i="9" s="1"/>
  <c r="T1157" i="9" s="1"/>
  <c r="F669" i="9"/>
  <c r="F661" i="9" s="1"/>
  <c r="S210" i="9"/>
  <c r="S662" i="9"/>
  <c r="R918" i="9"/>
  <c r="J414" i="9"/>
  <c r="J413" i="9"/>
  <c r="R413" i="9" s="1"/>
  <c r="R311" i="9"/>
  <c r="R310" i="9" s="1"/>
  <c r="R498" i="9"/>
  <c r="R636" i="9"/>
  <c r="R514" i="9"/>
  <c r="J1081" i="9"/>
  <c r="R1081" i="9" s="1"/>
  <c r="T730" i="9"/>
  <c r="F729" i="9" s="1"/>
  <c r="G727" i="9" s="1"/>
  <c r="H727" i="9" s="1"/>
  <c r="R676" i="9"/>
  <c r="R693" i="9"/>
  <c r="R538" i="9"/>
  <c r="S799" i="9"/>
  <c r="R369" i="9"/>
  <c r="G1144" i="9"/>
  <c r="H1144" i="9" s="1"/>
  <c r="R1049" i="9"/>
  <c r="T1049" i="9" s="1"/>
  <c r="F1048" i="9" s="1"/>
  <c r="G1045" i="9" s="1"/>
  <c r="H1045" i="9" s="1"/>
  <c r="R594" i="9"/>
  <c r="R936" i="9"/>
  <c r="R642" i="9"/>
  <c r="R298" i="9"/>
  <c r="T298" i="9" s="1"/>
  <c r="F292" i="9" s="1"/>
  <c r="G291" i="9" s="1"/>
  <c r="H291" i="9" s="1"/>
  <c r="R758" i="9"/>
  <c r="F907" i="9"/>
  <c r="F796" i="9" s="1"/>
  <c r="G1189" i="9"/>
  <c r="H1189" i="9" s="1"/>
  <c r="E273" i="9"/>
  <c r="E271" i="9" s="1"/>
  <c r="E6" i="9"/>
  <c r="R269" i="9"/>
  <c r="T269" i="9" s="1"/>
  <c r="F265" i="9" s="1"/>
  <c r="G264" i="9" s="1"/>
  <c r="H264" i="9" s="1"/>
  <c r="J151" i="9"/>
  <c r="R151" i="9" s="1"/>
  <c r="R168" i="9"/>
  <c r="T168" i="9" s="1"/>
  <c r="F166" i="9" s="1"/>
  <c r="G165" i="9" s="1"/>
  <c r="H165" i="9" s="1"/>
  <c r="R246" i="9"/>
  <c r="T246" i="9" s="1"/>
  <c r="F245" i="9" s="1"/>
  <c r="G243" i="9" s="1"/>
  <c r="H243" i="9" s="1"/>
  <c r="T994" i="9"/>
  <c r="F993" i="9" s="1"/>
  <c r="G991" i="9" s="1"/>
  <c r="H991" i="9" s="1"/>
  <c r="R399" i="9"/>
  <c r="R816" i="9"/>
  <c r="R340" i="9"/>
  <c r="R338" i="9" s="1"/>
  <c r="R362" i="9"/>
  <c r="R833" i="9"/>
  <c r="F1008" i="9"/>
  <c r="R1019" i="9"/>
  <c r="T1019" i="9" s="1"/>
  <c r="F1015" i="9" s="1"/>
  <c r="R358" i="9"/>
  <c r="S382" i="9" s="1"/>
  <c r="F338" i="9" s="1"/>
  <c r="R428" i="9"/>
  <c r="R480" i="9"/>
  <c r="R786" i="9"/>
  <c r="R807" i="9"/>
  <c r="R1001" i="9"/>
  <c r="T1001" i="9" s="1"/>
  <c r="F997" i="9" s="1"/>
  <c r="G995" i="9" s="1"/>
  <c r="H995" i="9" s="1"/>
  <c r="F1155" i="9"/>
  <c r="J922" i="9"/>
  <c r="R922" i="9" s="1"/>
  <c r="R281" i="9"/>
  <c r="R306" i="9"/>
  <c r="R302" i="9" s="1"/>
  <c r="R608" i="9"/>
  <c r="R785" i="9"/>
  <c r="T785" i="9" s="1"/>
  <c r="F771" i="9" s="1"/>
  <c r="R795" i="9"/>
  <c r="T795" i="9" s="1"/>
  <c r="F794" i="9" s="1"/>
  <c r="G791" i="9" s="1"/>
  <c r="H791" i="9" s="1"/>
  <c r="R862" i="9"/>
  <c r="G979" i="9"/>
  <c r="H979" i="9" s="1"/>
  <c r="F983" i="9"/>
  <c r="T986" i="9"/>
  <c r="F985" i="9" s="1"/>
  <c r="R97" i="9"/>
  <c r="E272" i="9"/>
  <c r="E270" i="9" s="1"/>
  <c r="R524" i="9"/>
  <c r="F1140" i="9"/>
  <c r="S236" i="9"/>
  <c r="F222" i="9" s="1"/>
  <c r="G247" i="9"/>
  <c r="H247" i="9" s="1"/>
  <c r="R409" i="9"/>
  <c r="R416" i="9"/>
  <c r="R654" i="9"/>
  <c r="T654" i="9" s="1"/>
  <c r="F650" i="9" s="1"/>
  <c r="R710" i="9"/>
  <c r="R737" i="9"/>
  <c r="R744" i="9" s="1"/>
  <c r="R790" i="9"/>
  <c r="T790" i="9" s="1"/>
  <c r="F790" i="9" s="1"/>
  <c r="G786" i="9" s="1"/>
  <c r="H786" i="9" s="1"/>
  <c r="T978" i="9"/>
  <c r="F977" i="9" s="1"/>
  <c r="G975" i="9" s="1"/>
  <c r="H975" i="9" s="1"/>
  <c r="G1187" i="9"/>
  <c r="H1187" i="9" s="1"/>
  <c r="R1186" i="9"/>
  <c r="T1186" i="9" s="1"/>
  <c r="T1182" i="9" s="1"/>
  <c r="E7" i="9"/>
  <c r="R210" i="9"/>
  <c r="S220" i="9"/>
  <c r="F211" i="9" s="1"/>
  <c r="G257" i="9"/>
  <c r="H257" i="9" s="1"/>
  <c r="R404" i="9"/>
  <c r="R629" i="9"/>
  <c r="R717" i="9"/>
  <c r="R822" i="9"/>
  <c r="R856" i="9"/>
  <c r="R874" i="9"/>
  <c r="R940" i="9"/>
  <c r="J1082" i="9"/>
  <c r="R1082" i="9" s="1"/>
  <c r="R130" i="9"/>
  <c r="R236" i="9"/>
  <c r="R346" i="9"/>
  <c r="R373" i="9"/>
  <c r="R484" i="9"/>
  <c r="R541" i="9"/>
  <c r="R668" i="9"/>
  <c r="T668" i="9" s="1"/>
  <c r="F665" i="9" s="1"/>
  <c r="G663" i="9" s="1"/>
  <c r="H663" i="9" s="1"/>
  <c r="R714" i="9"/>
  <c r="R811" i="9"/>
  <c r="R867" i="9"/>
  <c r="T990" i="9"/>
  <c r="F989" i="9" s="1"/>
  <c r="G987" i="9" s="1"/>
  <c r="H987" i="9" s="1"/>
  <c r="T164" i="9"/>
  <c r="R767" i="9"/>
  <c r="T767" i="9" s="1"/>
  <c r="F762" i="9" s="1"/>
  <c r="G758" i="9" s="1"/>
  <c r="H758" i="9" s="1"/>
  <c r="R220" i="9"/>
  <c r="F478" i="9"/>
  <c r="R160" i="9"/>
  <c r="T160" i="9" s="1"/>
  <c r="F157" i="9" s="1"/>
  <c r="G154" i="9" s="1"/>
  <c r="H154" i="9" s="1"/>
  <c r="R242" i="9"/>
  <c r="J1062" i="9"/>
  <c r="T1140" i="9"/>
  <c r="J152" i="9"/>
  <c r="R152" i="9" s="1"/>
  <c r="T256" i="9"/>
  <c r="T751" i="9"/>
  <c r="F747" i="9" s="1"/>
  <c r="G745" i="9" s="1"/>
  <c r="H745" i="9" s="1"/>
  <c r="F1138" i="9"/>
  <c r="G1141" i="9"/>
  <c r="H1141" i="9" s="1"/>
  <c r="J134" i="9"/>
  <c r="R175" i="9"/>
  <c r="F251" i="9"/>
  <c r="R277" i="9"/>
  <c r="R490" i="9"/>
  <c r="F768" i="9"/>
  <c r="R800" i="9"/>
  <c r="G903" i="9"/>
  <c r="H903" i="9" s="1"/>
  <c r="J950" i="9"/>
  <c r="R950" i="9" s="1"/>
  <c r="R958" i="9" s="1"/>
  <c r="T958" i="9" s="1"/>
  <c r="F951" i="9" s="1"/>
  <c r="G949" i="9" s="1"/>
  <c r="H949" i="9" s="1"/>
  <c r="J951" i="9"/>
  <c r="R1024" i="9"/>
  <c r="T1024" i="9" s="1"/>
  <c r="F1021" i="9" s="1"/>
  <c r="G1020" i="9" s="1"/>
  <c r="H1020" i="9" s="1"/>
  <c r="R847" i="9"/>
  <c r="R887" i="9"/>
  <c r="R1007" i="9"/>
  <c r="T1007" i="9" s="1"/>
  <c r="F1004" i="9" s="1"/>
  <c r="G1002" i="9" s="1"/>
  <c r="H1002" i="9" s="1"/>
  <c r="F1012" i="9"/>
  <c r="G1168" i="9"/>
  <c r="H1168" i="9" s="1"/>
  <c r="R598" i="9"/>
  <c r="G702" i="9"/>
  <c r="H702" i="9" s="1"/>
  <c r="R756" i="9"/>
  <c r="T756" i="9" s="1"/>
  <c r="F753" i="9" s="1"/>
  <c r="G752" i="9" s="1"/>
  <c r="H752" i="9" s="1"/>
  <c r="R964" i="9"/>
  <c r="T964" i="9" s="1"/>
  <c r="F961" i="9" s="1"/>
  <c r="G959" i="9" s="1"/>
  <c r="H959" i="9" s="1"/>
  <c r="S916" i="9"/>
  <c r="R700" i="9" l="1"/>
  <c r="T700" i="9" s="1"/>
  <c r="F672" i="9" s="1"/>
  <c r="G669" i="9" s="1"/>
  <c r="H669" i="9" s="1"/>
  <c r="R902" i="9"/>
  <c r="R855" i="9"/>
  <c r="T855" i="9" s="1"/>
  <c r="R561" i="9"/>
  <c r="T242" i="9"/>
  <c r="F241" i="9" s="1"/>
  <c r="G237" i="9" s="1"/>
  <c r="H237" i="9" s="1"/>
  <c r="R289" i="9"/>
  <c r="R948" i="9"/>
  <c r="T948" i="9" s="1"/>
  <c r="F937" i="9" s="1"/>
  <c r="G935" i="9" s="1"/>
  <c r="H935" i="9" s="1"/>
  <c r="R425" i="9"/>
  <c r="R447" i="9" s="1"/>
  <c r="G1014" i="9"/>
  <c r="H1014" i="9" s="1"/>
  <c r="F1013" i="9"/>
  <c r="G1012" i="9" s="1"/>
  <c r="H1012" i="9" s="1"/>
  <c r="G1008" i="9"/>
  <c r="F913" i="9"/>
  <c r="R917" i="9"/>
  <c r="R337" i="9"/>
  <c r="T337" i="9" s="1"/>
  <c r="F301" i="9" s="1"/>
  <c r="G299" i="9" s="1"/>
  <c r="H299" i="9" s="1"/>
  <c r="R615" i="9"/>
  <c r="R1137" i="9"/>
  <c r="T902" i="9"/>
  <c r="F858" i="9" s="1"/>
  <c r="G856" i="9" s="1"/>
  <c r="H856" i="9" s="1"/>
  <c r="R726" i="9"/>
  <c r="T726" i="9" s="1"/>
  <c r="F712" i="9" s="1"/>
  <c r="G710" i="9" s="1"/>
  <c r="H710" i="9" s="1"/>
  <c r="F1161" i="9"/>
  <c r="F1157" i="9" s="1"/>
  <c r="G1155" i="9" s="1"/>
  <c r="H1155" i="9" s="1"/>
  <c r="R368" i="9"/>
  <c r="R357" i="9"/>
  <c r="R382" i="9" s="1"/>
  <c r="T382" i="9" s="1"/>
  <c r="F340" i="9" s="1"/>
  <c r="G338" i="9" s="1"/>
  <c r="H338" i="9" s="1"/>
  <c r="G907" i="9"/>
  <c r="H907" i="9" s="1"/>
  <c r="E5" i="9"/>
  <c r="R252" i="9"/>
  <c r="R497" i="9"/>
  <c r="T497" i="9" s="1"/>
  <c r="F482" i="9" s="1"/>
  <c r="R162" i="9"/>
  <c r="T769" i="9"/>
  <c r="E4" i="9"/>
  <c r="R611" i="9"/>
  <c r="R573" i="9" s="1"/>
  <c r="T162" i="9"/>
  <c r="F164" i="9"/>
  <c r="T744" i="9"/>
  <c r="F733" i="9" s="1"/>
  <c r="G731" i="9" s="1"/>
  <c r="H731" i="9" s="1"/>
  <c r="T130" i="9"/>
  <c r="F100" i="9" s="1"/>
  <c r="G98" i="9" s="1"/>
  <c r="H98" i="9" s="1"/>
  <c r="G983" i="9"/>
  <c r="H983" i="9" s="1"/>
  <c r="F1186" i="9"/>
  <c r="F1182" i="9" s="1"/>
  <c r="G1180" i="9" s="1"/>
  <c r="H1180" i="9" s="1"/>
  <c r="T220" i="9"/>
  <c r="F213" i="9" s="1"/>
  <c r="G211" i="9" s="1"/>
  <c r="H211" i="9" s="1"/>
  <c r="R133" i="9"/>
  <c r="T236" i="9"/>
  <c r="F223" i="9" s="1"/>
  <c r="G222" i="9" s="1"/>
  <c r="H222" i="9" s="1"/>
  <c r="G1138" i="9"/>
  <c r="H1138" i="9" s="1"/>
  <c r="T1013" i="9"/>
  <c r="J1063" i="9"/>
  <c r="R1062" i="9"/>
  <c r="S170" i="9"/>
  <c r="F176" i="9"/>
  <c r="R170" i="9"/>
  <c r="T175" i="9"/>
  <c r="S289" i="9"/>
  <c r="J149" i="9"/>
  <c r="R149" i="9" s="1"/>
  <c r="R134" i="9"/>
  <c r="T210" i="9"/>
  <c r="F177" i="9" s="1"/>
  <c r="F254" i="9"/>
  <c r="T252" i="9"/>
  <c r="G770" i="9"/>
  <c r="H770" i="9" s="1"/>
  <c r="F769" i="9"/>
  <c r="G768" i="9" s="1"/>
  <c r="H768" i="9" s="1"/>
  <c r="J147" i="9"/>
  <c r="R147" i="9" s="1"/>
  <c r="J148" i="9"/>
  <c r="R148" i="9" s="1"/>
  <c r="J146" i="9"/>
  <c r="R146" i="9" s="1"/>
  <c r="R145" i="9"/>
  <c r="R934" i="9" l="1"/>
  <c r="T934" i="9" s="1"/>
  <c r="G1158" i="9"/>
  <c r="H1158" i="9" s="1"/>
  <c r="T447" i="9"/>
  <c r="T424" i="9" s="1"/>
  <c r="S97" i="9"/>
  <c r="J131" i="9" s="1"/>
  <c r="R10" i="9"/>
  <c r="T94" i="9"/>
  <c r="T97" i="9" s="1"/>
  <c r="F11" i="9" s="1"/>
  <c r="G1183" i="9"/>
  <c r="H1183" i="9" s="1"/>
  <c r="T289" i="9"/>
  <c r="T561" i="9"/>
  <c r="F500" i="9" s="1"/>
  <c r="G498" i="9" s="1"/>
  <c r="H498" i="9" s="1"/>
  <c r="T799" i="9"/>
  <c r="G163" i="9"/>
  <c r="H163" i="9" s="1"/>
  <c r="F162" i="9"/>
  <c r="G161" i="9" s="1"/>
  <c r="H161" i="9" s="1"/>
  <c r="F802" i="9"/>
  <c r="F798" i="9" s="1"/>
  <c r="G796" i="9" s="1"/>
  <c r="H796" i="9" s="1"/>
  <c r="R648" i="9"/>
  <c r="T648" i="9" s="1"/>
  <c r="F575" i="9" s="1"/>
  <c r="G573" i="9" s="1"/>
  <c r="H573" i="9" s="1"/>
  <c r="T662" i="9"/>
  <c r="R1063" i="9"/>
  <c r="J1064" i="9"/>
  <c r="G480" i="9"/>
  <c r="H480" i="9" s="1"/>
  <c r="F252" i="9"/>
  <c r="G251" i="9" s="1"/>
  <c r="H251" i="9" s="1"/>
  <c r="G253" i="9"/>
  <c r="H253" i="9" s="1"/>
  <c r="T170" i="9"/>
  <c r="F173" i="9"/>
  <c r="S276" i="9"/>
  <c r="S271" i="9" s="1"/>
  <c r="F277" i="9"/>
  <c r="F662" i="9"/>
  <c r="G661" i="9" s="1"/>
  <c r="H661" i="9" s="1"/>
  <c r="G176" i="9"/>
  <c r="H176" i="9" s="1"/>
  <c r="F169" i="9"/>
  <c r="F919" i="9" l="1"/>
  <c r="T916" i="9"/>
  <c r="J138" i="9"/>
  <c r="J142" i="9" s="1"/>
  <c r="R142" i="9" s="1"/>
  <c r="F427" i="9"/>
  <c r="F424" i="9" s="1"/>
  <c r="F10" i="9"/>
  <c r="G10" i="9" s="1"/>
  <c r="H10" i="9" s="1"/>
  <c r="G800" i="9"/>
  <c r="H800" i="9" s="1"/>
  <c r="F279" i="9"/>
  <c r="F479" i="9"/>
  <c r="G478" i="9" s="1"/>
  <c r="H478" i="9" s="1"/>
  <c r="T479" i="9"/>
  <c r="F274" i="9"/>
  <c r="F170" i="9"/>
  <c r="G169" i="9" s="1"/>
  <c r="H169" i="9" s="1"/>
  <c r="G171" i="9"/>
  <c r="H171" i="9" s="1"/>
  <c r="J1065" i="9"/>
  <c r="R1064" i="9"/>
  <c r="G917" i="9" l="1"/>
  <c r="H917" i="9" s="1"/>
  <c r="F915" i="9"/>
  <c r="G913" i="9" s="1"/>
  <c r="H913" i="9" s="1"/>
  <c r="R138" i="9"/>
  <c r="J139" i="9"/>
  <c r="R131" i="9"/>
  <c r="R137" i="9" s="1"/>
  <c r="G423" i="9"/>
  <c r="H423" i="9" s="1"/>
  <c r="G277" i="9"/>
  <c r="H277" i="9" s="1"/>
  <c r="G425" i="9"/>
  <c r="H425" i="9" s="1"/>
  <c r="J1066" i="9"/>
  <c r="R1066" i="9" s="1"/>
  <c r="R1065" i="9"/>
  <c r="R1061" i="9" s="1"/>
  <c r="F272" i="9"/>
  <c r="R139" i="9" l="1"/>
  <c r="S153" i="9" s="1"/>
  <c r="F138" i="9" s="1"/>
  <c r="J140" i="9"/>
  <c r="S137" i="9"/>
  <c r="F131" i="9" s="1"/>
  <c r="T1137" i="9"/>
  <c r="T1052" i="9" s="1"/>
  <c r="F270" i="9"/>
  <c r="R153" i="9" l="1"/>
  <c r="T153" i="9" s="1"/>
  <c r="F141" i="9" s="1"/>
  <c r="F8" i="9"/>
  <c r="F6" i="9" s="1"/>
  <c r="T137" i="9"/>
  <c r="F134" i="9" s="1"/>
  <c r="G131" i="9" s="1"/>
  <c r="H131" i="9" s="1"/>
  <c r="S9" i="9"/>
  <c r="S7" i="9" s="1"/>
  <c r="S5" i="9" s="1"/>
  <c r="F1055" i="9"/>
  <c r="F1052" i="9" s="1"/>
  <c r="T9" i="9" l="1"/>
  <c r="T7" i="9" s="1"/>
  <c r="G1053" i="9"/>
  <c r="H1053" i="9" s="1"/>
  <c r="G138" i="9"/>
  <c r="H138" i="9" s="1"/>
  <c r="F9" i="9"/>
  <c r="F4" i="9"/>
  <c r="G1050" i="9"/>
  <c r="H1050" i="9" s="1"/>
  <c r="F7" i="9" l="1"/>
  <c r="G8" i="9"/>
  <c r="H8" i="9" s="1"/>
  <c r="G6" i="9" l="1"/>
  <c r="H6" i="9" s="1"/>
  <c r="C122" i="6" l="1"/>
  <c r="C121" i="6"/>
  <c r="C120" i="6"/>
  <c r="C119" i="6"/>
  <c r="C118" i="6"/>
  <c r="C117" i="6"/>
  <c r="C116" i="6"/>
  <c r="L113" i="6"/>
  <c r="J113" i="6"/>
  <c r="M122" i="6"/>
  <c r="M121" i="6"/>
  <c r="M72" i="6"/>
  <c r="M70" i="6"/>
  <c r="M69" i="6"/>
  <c r="M58" i="6"/>
  <c r="M119" i="6" s="1"/>
  <c r="H113" i="6"/>
  <c r="M6" i="6"/>
  <c r="M5" i="6"/>
  <c r="M4" i="6"/>
  <c r="M3" i="6"/>
  <c r="I123" i="6" l="1"/>
  <c r="C123" i="6"/>
  <c r="E123" i="6"/>
  <c r="J123" i="6"/>
  <c r="L123" i="6"/>
  <c r="K123" i="6"/>
  <c r="M71" i="6"/>
  <c r="M73" i="6"/>
  <c r="E113" i="6"/>
  <c r="H123" i="6"/>
  <c r="M7" i="6"/>
  <c r="M116" i="6" s="1"/>
  <c r="M9" i="6"/>
  <c r="M118" i="6" s="1"/>
  <c r="K113" i="6"/>
  <c r="D123" i="6"/>
  <c r="M8" i="6"/>
  <c r="M117" i="6" s="1"/>
  <c r="M120" i="6" l="1"/>
  <c r="M123" i="6" s="1"/>
  <c r="M113" i="6"/>
  <c r="R34" i="2" l="1"/>
  <c r="R61" i="2"/>
  <c r="R59" i="2" s="1"/>
  <c r="E59" i="2"/>
  <c r="F58" i="2"/>
  <c r="E58" i="2"/>
  <c r="R57" i="2"/>
  <c r="T57" i="2" s="1"/>
  <c r="E53" i="2"/>
  <c r="R49" i="2"/>
  <c r="R46" i="2"/>
  <c r="R40" i="2"/>
  <c r="R39" i="2"/>
  <c r="R38" i="2"/>
  <c r="R37" i="2"/>
  <c r="R36" i="2"/>
  <c r="R35" i="2"/>
  <c r="R33" i="2"/>
  <c r="R30" i="2"/>
  <c r="R12" i="2"/>
  <c r="R13" i="2" s="1"/>
  <c r="E25" i="2"/>
  <c r="T23" i="2"/>
  <c r="R23" i="2"/>
  <c r="F23" i="2" s="1"/>
  <c r="R19" i="2"/>
  <c r="F19" i="2" s="1"/>
  <c r="E15" i="2"/>
  <c r="F14" i="2"/>
  <c r="E14" i="2"/>
  <c r="R11" i="2"/>
  <c r="F10" i="2" s="1"/>
  <c r="R9" i="2"/>
  <c r="F8" i="2" s="1"/>
  <c r="G8" i="2" s="1"/>
  <c r="H8" i="2" s="1"/>
  <c r="E7" i="2"/>
  <c r="E6" i="2"/>
  <c r="E4" i="2" s="1"/>
  <c r="F61" i="2" l="1"/>
  <c r="G60" i="2" s="1"/>
  <c r="H60" i="2" s="1"/>
  <c r="F56" i="2"/>
  <c r="G55" i="2" s="1"/>
  <c r="H55" i="2" s="1"/>
  <c r="E5" i="2"/>
  <c r="R15" i="2"/>
  <c r="R54" i="2"/>
  <c r="T54" i="2" s="1"/>
  <c r="G22" i="2"/>
  <c r="H22" i="2" s="1"/>
  <c r="F21" i="2"/>
  <c r="G20" i="2" s="1"/>
  <c r="H20" i="2" s="1"/>
  <c r="R21" i="2"/>
  <c r="T19" i="2"/>
  <c r="R51" i="2"/>
  <c r="F28" i="2" s="1"/>
  <c r="R7" i="2"/>
  <c r="F15" i="2"/>
  <c r="G14" i="2" s="1"/>
  <c r="H14" i="2" s="1"/>
  <c r="G16" i="2"/>
  <c r="H16" i="2" s="1"/>
  <c r="F13" i="2"/>
  <c r="T13" i="2"/>
  <c r="F6" i="2"/>
  <c r="F59" i="2" l="1"/>
  <c r="G58" i="2" s="1"/>
  <c r="H58" i="2" s="1"/>
  <c r="F53" i="2"/>
  <c r="G52" i="2" s="1"/>
  <c r="H52" i="2" s="1"/>
  <c r="T51" i="2"/>
  <c r="R26" i="2"/>
  <c r="R4" i="2" s="1"/>
  <c r="F4" i="2"/>
  <c r="F7" i="2"/>
  <c r="F5" i="2" s="1"/>
  <c r="G12" i="2"/>
  <c r="H12" i="2" s="1"/>
  <c r="G27" i="2"/>
  <c r="H27" i="2" s="1"/>
  <c r="F25" i="2"/>
  <c r="G4" i="2" l="1"/>
  <c r="H4" i="2" s="1"/>
  <c r="G6" i="2"/>
  <c r="H6" i="2" s="1"/>
  <c r="R414" i="9"/>
  <c r="R410" i="9" s="1"/>
  <c r="R422" i="9" s="1"/>
  <c r="T422" i="9" s="1"/>
  <c r="F411" i="9" l="1"/>
  <c r="T276" i="9"/>
  <c r="T271" i="9" s="1"/>
  <c r="T5" i="9" s="1"/>
  <c r="G410" i="9" l="1"/>
  <c r="H410" i="9" s="1"/>
  <c r="F276" i="9"/>
  <c r="G274" i="9" l="1"/>
  <c r="H274" i="9" s="1"/>
  <c r="F273" i="9"/>
  <c r="G272" i="9" l="1"/>
  <c r="H272" i="9" s="1"/>
  <c r="F271" i="9"/>
  <c r="F5" i="9" l="1"/>
  <c r="G4" i="9" s="1"/>
  <c r="H4" i="9" s="1"/>
  <c r="G270" i="9"/>
  <c r="H270" i="9" s="1"/>
</calcChain>
</file>

<file path=xl/comments1.xml><?xml version="1.0" encoding="utf-8"?>
<comments xmlns="http://schemas.openxmlformats.org/spreadsheetml/2006/main">
  <authors>
    <author>김혜연</author>
  </authors>
  <commentList>
    <comment ref="R22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왁스청소비</t>
        </r>
        <r>
          <rPr>
            <b/>
            <sz val="9"/>
            <color indexed="81"/>
            <rFont val="Tahoma"/>
            <family val="2"/>
          </rPr>
          <t xml:space="preserve"> -2,000,000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태양광</t>
        </r>
        <r>
          <rPr>
            <b/>
            <sz val="9"/>
            <color indexed="81"/>
            <rFont val="Tahoma"/>
            <family val="2"/>
          </rPr>
          <t xml:space="preserve"> +1,080,000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퇴직연금수수료</t>
        </r>
        <r>
          <rPr>
            <b/>
            <sz val="9"/>
            <color indexed="81"/>
            <rFont val="Tahoma"/>
            <family val="2"/>
          </rPr>
          <t xml:space="preserve"> -460,000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자동차세</t>
        </r>
        <r>
          <rPr>
            <b/>
            <sz val="9"/>
            <color indexed="81"/>
            <rFont val="Tahoma"/>
            <family val="2"/>
          </rPr>
          <t xml:space="preserve"> -132,720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신원보증보험</t>
        </r>
        <r>
          <rPr>
            <b/>
            <sz val="9"/>
            <color indexed="81"/>
            <rFont val="Tahoma"/>
            <family val="2"/>
          </rPr>
          <t xml:space="preserve"> -149,160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왁스청소비</t>
        </r>
        <r>
          <rPr>
            <b/>
            <sz val="9"/>
            <color indexed="81"/>
            <rFont val="Tahoma"/>
            <family val="2"/>
          </rPr>
          <t xml:space="preserve"> +132,720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+149,160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소모품</t>
        </r>
        <r>
          <rPr>
            <b/>
            <sz val="9"/>
            <color indexed="81"/>
            <rFont val="Tahoma"/>
            <family val="2"/>
          </rPr>
          <t xml:space="preserve"> -1,200,000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왁스청소비</t>
        </r>
        <r>
          <rPr>
            <b/>
            <sz val="9"/>
            <color indexed="81"/>
            <rFont val="Tahoma"/>
            <family val="2"/>
          </rPr>
          <t xml:space="preserve"> +1,200,000</t>
        </r>
        <r>
          <rPr>
            <b/>
            <sz val="9"/>
            <color indexed="81"/>
            <rFont val="돋움"/>
            <family val="3"/>
            <charset val="129"/>
          </rPr>
          <t>원
총</t>
        </r>
        <r>
          <rPr>
            <b/>
            <sz val="9"/>
            <color indexed="81"/>
            <rFont val="Tahoma"/>
            <family val="2"/>
          </rPr>
          <t xml:space="preserve"> -1,380,000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comments2.xml><?xml version="1.0" encoding="utf-8"?>
<comments xmlns="http://schemas.openxmlformats.org/spreadsheetml/2006/main">
  <authors>
    <author>김혜연</author>
  </authors>
  <commentList>
    <comment ref="J135" authorId="0" shapeId="0">
      <text>
        <r>
          <rPr>
            <b/>
            <sz val="9"/>
            <color indexed="81"/>
            <rFont val="돋움"/>
            <family val="3"/>
            <charset val="129"/>
          </rPr>
          <t>박경순</t>
        </r>
        <r>
          <rPr>
            <b/>
            <sz val="9"/>
            <color indexed="81"/>
            <rFont val="Tahoma"/>
            <family val="2"/>
          </rPr>
          <t xml:space="preserve"> 1~12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급여</t>
        </r>
        <r>
          <rPr>
            <b/>
            <sz val="9"/>
            <color indexed="81"/>
            <rFont val="Tahoma"/>
            <family val="2"/>
          </rPr>
          <t xml:space="preserve"> 37,144,100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후임이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보조금으로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퇴직금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받음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김영진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2,395,000-2,255,000=140,000</t>
        </r>
        <r>
          <rPr>
            <b/>
            <sz val="9"/>
            <color indexed="81"/>
            <rFont val="돋움"/>
            <family val="3"/>
            <charset val="129"/>
          </rPr>
          <t>원
김영진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3,748,000-1,835,000=1,913,000</t>
        </r>
        <r>
          <rPr>
            <b/>
            <sz val="9"/>
            <color indexed="81"/>
            <rFont val="돋움"/>
            <family val="3"/>
            <charset val="129"/>
          </rPr>
          <t>원
김영진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2,101,940</t>
        </r>
        <r>
          <rPr>
            <b/>
            <sz val="9"/>
            <color indexed="81"/>
            <rFont val="돋움"/>
            <family val="3"/>
            <charset val="129"/>
          </rPr>
          <t>원
김영진</t>
        </r>
        <r>
          <rPr>
            <b/>
            <sz val="9"/>
            <color indexed="81"/>
            <rFont val="Tahoma"/>
            <family val="2"/>
          </rPr>
          <t xml:space="preserve"> 4~12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급여</t>
        </r>
        <r>
          <rPr>
            <b/>
            <sz val="9"/>
            <color indexed="81"/>
            <rFont val="Tahoma"/>
            <family val="2"/>
          </rPr>
          <t xml:space="preserve"> 25,027,500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후임이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영진샘이랑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똑같은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호봉으로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들어온다고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조진경</t>
        </r>
        <r>
          <rPr>
            <b/>
            <sz val="9"/>
            <color indexed="81"/>
            <rFont val="Tahoma"/>
            <family val="2"/>
          </rPr>
          <t xml:space="preserve"> 1~4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급여</t>
        </r>
        <r>
          <rPr>
            <b/>
            <sz val="9"/>
            <color indexed="81"/>
            <rFont val="Tahoma"/>
            <family val="2"/>
          </rPr>
          <t xml:space="preserve"> 8,981,000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  <comment ref="I158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사회복지사협회비
</t>
        </r>
        <r>
          <rPr>
            <b/>
            <sz val="9"/>
            <color indexed="81"/>
            <rFont val="Tahoma"/>
            <family val="2"/>
          </rPr>
          <t>38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>*50,000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=1,900,000</t>
        </r>
        <r>
          <rPr>
            <b/>
            <sz val="9"/>
            <color indexed="81"/>
            <rFont val="돋움"/>
            <family val="3"/>
            <charset val="129"/>
          </rPr>
          <t>원
종사자의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식대</t>
        </r>
        <r>
          <rPr>
            <b/>
            <sz val="9"/>
            <color indexed="81"/>
            <rFont val="Tahoma"/>
            <family val="2"/>
          </rPr>
          <t xml:space="preserve"> 400,000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작년</t>
        </r>
        <r>
          <rPr>
            <b/>
            <sz val="9"/>
            <color indexed="81"/>
            <rFont val="Tahoma"/>
            <family val="2"/>
          </rPr>
          <t xml:space="preserve"> 292,000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복리후생비</t>
        </r>
        <r>
          <rPr>
            <b/>
            <sz val="9"/>
            <color indexed="81"/>
            <rFont val="Tahoma"/>
            <family val="2"/>
          </rPr>
          <t xml:space="preserve"> 340,000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2" authorId="0" shapeId="0">
      <text>
        <r>
          <rPr>
            <b/>
            <sz val="9"/>
            <color indexed="81"/>
            <rFont val="돋움"/>
            <family val="3"/>
            <charset val="129"/>
          </rPr>
          <t>인식개선사업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출장비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국내여비로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00" authorId="0" shapeId="0">
      <text>
        <r>
          <rPr>
            <sz val="9"/>
            <color indexed="81"/>
            <rFont val="돋움"/>
            <family val="3"/>
            <charset val="129"/>
          </rPr>
          <t>태양광</t>
        </r>
        <r>
          <rPr>
            <sz val="9"/>
            <color indexed="81"/>
            <rFont val="Tahoma"/>
            <family val="2"/>
          </rPr>
          <t xml:space="preserve"> 33,000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>*3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=1,188,000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92" authorId="0" shapeId="0">
      <text>
        <r>
          <rPr>
            <b/>
            <sz val="9"/>
            <color indexed="81"/>
            <rFont val="돋움"/>
            <family val="3"/>
            <charset val="129"/>
          </rPr>
          <t>이연주팀장님</t>
        </r>
      </text>
    </comment>
  </commentList>
</comments>
</file>

<file path=xl/comments3.xml><?xml version="1.0" encoding="utf-8"?>
<comments xmlns="http://schemas.openxmlformats.org/spreadsheetml/2006/main">
  <authors>
    <author>김혜연</author>
  </authors>
  <commentList>
    <comment ref="I7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사회복지사협회비
</t>
        </r>
        <r>
          <rPr>
            <b/>
            <sz val="9"/>
            <color indexed="81"/>
            <rFont val="Tahoma"/>
            <family val="2"/>
          </rPr>
          <t xml:space="preserve">50,000*38
</t>
        </r>
      </text>
    </comment>
    <comment ref="H112" authorId="0" shapeId="0">
      <text>
        <r>
          <rPr>
            <b/>
            <sz val="9"/>
            <color indexed="81"/>
            <rFont val="돋움"/>
            <family val="3"/>
            <charset val="129"/>
          </rPr>
          <t>직재</t>
        </r>
        <r>
          <rPr>
            <b/>
            <sz val="9"/>
            <color indexed="81"/>
            <rFont val="Tahoma"/>
            <family val="2"/>
          </rPr>
          <t xml:space="preserve"> 773,769
</t>
        </r>
        <r>
          <rPr>
            <b/>
            <sz val="9"/>
            <color indexed="81"/>
            <rFont val="돋움"/>
            <family val="3"/>
            <charset val="129"/>
          </rPr>
          <t>문화예술교육지원</t>
        </r>
        <r>
          <rPr>
            <b/>
            <sz val="9"/>
            <color indexed="81"/>
            <rFont val="Tahoma"/>
            <family val="2"/>
          </rPr>
          <t xml:space="preserve"> 48,117
GKL</t>
        </r>
        <r>
          <rPr>
            <b/>
            <sz val="9"/>
            <color indexed="81"/>
            <rFont val="돋움"/>
            <family val="3"/>
            <charset val="129"/>
          </rPr>
          <t>가정문화체험</t>
        </r>
        <r>
          <rPr>
            <b/>
            <sz val="9"/>
            <color indexed="81"/>
            <rFont val="Tahoma"/>
            <family val="2"/>
          </rPr>
          <t xml:space="preserve"> 3,784,353
</t>
        </r>
        <r>
          <rPr>
            <b/>
            <sz val="9"/>
            <color indexed="81"/>
            <rFont val="돋움"/>
            <family val="3"/>
            <charset val="129"/>
          </rPr>
          <t>희망나눔</t>
        </r>
        <r>
          <rPr>
            <b/>
            <sz val="9"/>
            <color indexed="81"/>
            <rFont val="Tahoma"/>
            <family val="2"/>
          </rPr>
          <t xml:space="preserve"> 21
</t>
        </r>
        <r>
          <rPr>
            <b/>
            <sz val="9"/>
            <color indexed="81"/>
            <rFont val="돋움"/>
            <family val="3"/>
            <charset val="129"/>
          </rPr>
          <t>메르세데스벤츠</t>
        </r>
        <r>
          <rPr>
            <b/>
            <sz val="9"/>
            <color indexed="81"/>
            <rFont val="Tahoma"/>
            <family val="2"/>
          </rPr>
          <t xml:space="preserve"> 3,122</t>
        </r>
      </text>
    </comment>
  </commentList>
</comments>
</file>

<file path=xl/sharedStrings.xml><?xml version="1.0" encoding="utf-8"?>
<sst xmlns="http://schemas.openxmlformats.org/spreadsheetml/2006/main" count="4165" uniqueCount="1285">
  <si>
    <t>&lt;세출&gt;</t>
    <phoneticPr fontId="15" type="noConversion"/>
  </si>
  <si>
    <t xml:space="preserve"> </t>
    <phoneticPr fontId="15" type="noConversion"/>
  </si>
  <si>
    <t>(단위 : 천원)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</si>
  <si>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</si>
  <si>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</si>
  <si>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</si>
  <si>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세목</t>
    <phoneticPr fontId="15" type="noConversion"/>
  </si>
  <si>
    <t>증감</t>
    <phoneticPr fontId="15" type="noConversion"/>
  </si>
  <si>
    <t>산출내역</t>
    <phoneticPr fontId="15" type="noConversion"/>
  </si>
  <si>
    <t>금액</t>
    <phoneticPr fontId="15" type="noConversion"/>
  </si>
  <si>
    <t>비율(%)</t>
    <phoneticPr fontId="15" type="noConversion"/>
  </si>
  <si>
    <t>계</t>
    <phoneticPr fontId="15" type="noConversion"/>
  </si>
  <si>
    <t>사무비</t>
    <phoneticPr fontId="15" type="noConversion"/>
  </si>
  <si>
    <t>인건비</t>
    <phoneticPr fontId="15" type="noConversion"/>
  </si>
  <si>
    <t>급여</t>
    <phoneticPr fontId="15" type="noConversion"/>
  </si>
  <si>
    <t>*</t>
  </si>
  <si>
    <t>명</t>
  </si>
  <si>
    <t>월</t>
  </si>
  <si>
    <t>=</t>
  </si>
  <si>
    <t>월</t>
    <phoneticPr fontId="15" type="noConversion"/>
  </si>
  <si>
    <t>*</t>
    <phoneticPr fontId="15" type="noConversion"/>
  </si>
  <si>
    <t>명</t>
    <phoneticPr fontId="15" type="noConversion"/>
  </si>
  <si>
    <t>=</t>
    <phoneticPr fontId="15" type="noConversion"/>
  </si>
  <si>
    <t>계</t>
    <phoneticPr fontId="15" type="noConversion"/>
  </si>
  <si>
    <t>*</t>
    <phoneticPr fontId="15" type="noConversion"/>
  </si>
  <si>
    <t>회</t>
    <phoneticPr fontId="15" type="noConversion"/>
  </si>
  <si>
    <t>제수당</t>
    <phoneticPr fontId="15" type="noConversion"/>
  </si>
  <si>
    <t xml:space="preserve"> 0 명절휴가비</t>
    <phoneticPr fontId="15" type="noConversion"/>
  </si>
  <si>
    <t xml:space="preserve"> 0 여름휴가비 </t>
    <phoneticPr fontId="15" type="noConversion"/>
  </si>
  <si>
    <t>38명</t>
    <phoneticPr fontId="15" type="noConversion"/>
  </si>
  <si>
    <t xml:space="preserve"> 0 체력단련비</t>
    <phoneticPr fontId="15" type="noConversion"/>
  </si>
  <si>
    <t xml:space="preserve"> 0 조정수당</t>
    <phoneticPr fontId="15" type="noConversion"/>
  </si>
  <si>
    <t xml:space="preserve"> 0 가족수당</t>
    <phoneticPr fontId="15" type="noConversion"/>
  </si>
  <si>
    <t>명</t>
    <phoneticPr fontId="15" type="noConversion"/>
  </si>
  <si>
    <t>월</t>
    <phoneticPr fontId="15" type="noConversion"/>
  </si>
  <si>
    <t xml:space="preserve"> 0 특수업무수당</t>
    <phoneticPr fontId="15" type="noConversion"/>
  </si>
  <si>
    <t xml:space="preserve"> 0 직책수당</t>
    <phoneticPr fontId="15" type="noConversion"/>
  </si>
  <si>
    <t xml:space="preserve"> 0 정액급식비</t>
    <phoneticPr fontId="15" type="noConversion"/>
  </si>
  <si>
    <t xml:space="preserve"> 0 관리자수당</t>
    <phoneticPr fontId="15" type="noConversion"/>
  </si>
  <si>
    <t xml:space="preserve"> 0 시간외수당</t>
    <phoneticPr fontId="15" type="noConversion"/>
  </si>
  <si>
    <t>퇴직적립금</t>
    <phoneticPr fontId="15" type="noConversion"/>
  </si>
  <si>
    <t>0 퇴직적립금</t>
    <phoneticPr fontId="15" type="noConversion"/>
  </si>
  <si>
    <t>1/12</t>
    <phoneticPr fontId="15" type="noConversion"/>
  </si>
  <si>
    <t>=</t>
    <phoneticPr fontId="15" type="noConversion"/>
  </si>
  <si>
    <t>1/12</t>
    <phoneticPr fontId="15" type="noConversion"/>
  </si>
  <si>
    <t>사회보험
부담비용</t>
    <phoneticPr fontId="15" type="noConversion"/>
  </si>
  <si>
    <t xml:space="preserve"> 0 건강보험료</t>
    <phoneticPr fontId="15" type="noConversion"/>
  </si>
  <si>
    <t xml:space="preserve"> 0 국민연금부담금</t>
    <phoneticPr fontId="15" type="noConversion"/>
  </si>
  <si>
    <t>4.5%</t>
    <phoneticPr fontId="15" type="noConversion"/>
  </si>
  <si>
    <t xml:space="preserve"> 0 산재보험부담금</t>
    <phoneticPr fontId="15" type="noConversion"/>
  </si>
  <si>
    <t>*</t>
    <phoneticPr fontId="15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</si>
  <si>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</si>
  <si>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</si>
  <si>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</si>
  <si>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</si>
  <si>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 xml:space="preserve"> 0 건강보험부담금</t>
    <phoneticPr fontId="15" type="noConversion"/>
  </si>
  <si>
    <t>4.5%</t>
    <phoneticPr fontId="15" type="noConversion"/>
  </si>
  <si>
    <t>기타
후생
경비</t>
    <phoneticPr fontId="15" type="noConversion"/>
  </si>
  <si>
    <t xml:space="preserve"> 0 직원선물비</t>
  </si>
  <si>
    <t>회</t>
  </si>
  <si>
    <t>*</t>
    <phoneticPr fontId="15" type="noConversion"/>
  </si>
  <si>
    <t>0 복리후생경비</t>
    <phoneticPr fontId="15" type="noConversion"/>
  </si>
  <si>
    <t>계</t>
    <phoneticPr fontId="15" type="noConversion"/>
  </si>
  <si>
    <t>업무
추진비</t>
    <phoneticPr fontId="15" type="noConversion"/>
  </si>
  <si>
    <t xml:space="preserve"> 0 업무추진비</t>
    <phoneticPr fontId="15" type="noConversion"/>
  </si>
  <si>
    <t>회</t>
    <phoneticPr fontId="15" type="noConversion"/>
  </si>
  <si>
    <t>회의비</t>
    <phoneticPr fontId="15" type="noConversion"/>
  </si>
  <si>
    <t xml:space="preserve"> 0 회의비</t>
    <phoneticPr fontId="15" type="noConversion"/>
  </si>
  <si>
    <t xml:space="preserve"> 0 운영위원회의비</t>
    <phoneticPr fontId="15" type="noConversion"/>
  </si>
  <si>
    <t>명</t>
    <phoneticPr fontId="15" type="noConversion"/>
  </si>
  <si>
    <t>회</t>
    <phoneticPr fontId="15" type="noConversion"/>
  </si>
  <si>
    <t xml:space="preserve"> 0 운영위원회의식사비</t>
    <phoneticPr fontId="15" type="noConversion"/>
  </si>
  <si>
    <t>운영비</t>
    <phoneticPr fontId="15" type="noConversion"/>
  </si>
  <si>
    <t xml:space="preserve"> </t>
    <phoneticPr fontId="15" type="noConversion"/>
  </si>
  <si>
    <t>여비</t>
    <phoneticPr fontId="15" type="noConversion"/>
  </si>
  <si>
    <t xml:space="preserve"> 0 국내여비</t>
    <phoneticPr fontId="15" type="noConversion"/>
  </si>
  <si>
    <t xml:space="preserve"> 0 국외여비</t>
    <phoneticPr fontId="15" type="noConversion"/>
  </si>
  <si>
    <t>수용비 및 
수수료</t>
    <phoneticPr fontId="15" type="noConversion"/>
  </si>
  <si>
    <t xml:space="preserve"> 0 사무용품구입비 </t>
    <phoneticPr fontId="15" type="noConversion"/>
  </si>
  <si>
    <t xml:space="preserve"> 0 인쇄비</t>
    <phoneticPr fontId="15" type="noConversion"/>
  </si>
  <si>
    <t xml:space="preserve"> 0 수수료</t>
    <phoneticPr fontId="15" type="noConversion"/>
  </si>
  <si>
    <t xml:space="preserve"> 0 회계법인 감사수수료</t>
    <phoneticPr fontId="15" type="noConversion"/>
  </si>
  <si>
    <t>회</t>
    <phoneticPr fontId="15" type="noConversion"/>
  </si>
  <si>
    <t xml:space="preserve"> 0 퇴직연금 수수료</t>
    <phoneticPr fontId="15" type="noConversion"/>
  </si>
  <si>
    <t xml:space="preserve"> 0 CATV 시청료</t>
    <phoneticPr fontId="15" type="noConversion"/>
  </si>
  <si>
    <t xml:space="preserve"> 0 차량검사료</t>
    <phoneticPr fontId="15" type="noConversion"/>
  </si>
  <si>
    <t>대</t>
  </si>
  <si>
    <t xml:space="preserve"> 0 엘리베이터 검사비</t>
    <phoneticPr fontId="15" type="noConversion"/>
  </si>
  <si>
    <t xml:space="preserve"> 0 소방안전협회비</t>
    <phoneticPr fontId="15" type="noConversion"/>
  </si>
  <si>
    <t xml:space="preserve"> 0 한국가스안전검사비</t>
    <phoneticPr fontId="15" type="noConversion"/>
  </si>
  <si>
    <t xml:space="preserve"> 0 소방시설관리비</t>
    <phoneticPr fontId="15" type="noConversion"/>
  </si>
  <si>
    <t>건</t>
    <phoneticPr fontId="15" type="noConversion"/>
  </si>
  <si>
    <t xml:space="preserve"> 0 전기안전관리대행료</t>
    <phoneticPr fontId="15" type="noConversion"/>
  </si>
  <si>
    <t xml:space="preserve"> 0 근태 및 보안시스템 사용료</t>
    <phoneticPr fontId="15" type="noConversion"/>
  </si>
  <si>
    <t xml:space="preserve"> 0 엘리베이터 유지보수료</t>
    <phoneticPr fontId="15" type="noConversion"/>
  </si>
  <si>
    <t xml:space="preserve"> 0 정수기 렌탈비</t>
    <phoneticPr fontId="15" type="noConversion"/>
  </si>
  <si>
    <t xml:space="preserve"> 0 정수기 필터관리비</t>
    <phoneticPr fontId="15" type="noConversion"/>
  </si>
  <si>
    <t xml:space="preserve"> 0 복사기 유지보수비</t>
    <phoneticPr fontId="15" type="noConversion"/>
  </si>
  <si>
    <t xml:space="preserve"> 0 배관청소비</t>
    <phoneticPr fontId="15" type="noConversion"/>
  </si>
  <si>
    <t xml:space="preserve"> 0 내부소독비</t>
    <phoneticPr fontId="15" type="noConversion"/>
  </si>
  <si>
    <t xml:space="preserve"> 0 왁스청소비</t>
    <phoneticPr fontId="15" type="noConversion"/>
  </si>
  <si>
    <t xml:space="preserve"> 0 비데청소비</t>
    <phoneticPr fontId="15" type="noConversion"/>
  </si>
  <si>
    <t xml:space="preserve"> 0 물탱크 청소비</t>
    <phoneticPr fontId="15" type="noConversion"/>
  </si>
  <si>
    <t xml:space="preserve"> 0 수질검사비</t>
    <phoneticPr fontId="15" type="noConversion"/>
  </si>
  <si>
    <t xml:space="preserve"> 0 홈페이지 유지보수비</t>
    <phoneticPr fontId="15" type="noConversion"/>
  </si>
  <si>
    <t xml:space="preserve"> 0 보일러 유지보수비</t>
    <phoneticPr fontId="15" type="noConversion"/>
  </si>
  <si>
    <t xml:space="preserve"> 0 기타잡비</t>
    <phoneticPr fontId="15" type="noConversion"/>
  </si>
  <si>
    <t>공공요금</t>
    <phoneticPr fontId="15" type="noConversion"/>
  </si>
  <si>
    <t xml:space="preserve"> 0 전기요금</t>
    <phoneticPr fontId="15" type="noConversion"/>
  </si>
  <si>
    <t xml:space="preserve"> 0 상하수도요금</t>
  </si>
  <si>
    <t xml:space="preserve"> 0 전화요금</t>
  </si>
  <si>
    <t xml:space="preserve"> 0 우편요금</t>
    <phoneticPr fontId="15" type="noConversion"/>
  </si>
  <si>
    <t>제세공과금</t>
    <phoneticPr fontId="15" type="noConversion"/>
  </si>
  <si>
    <t xml:space="preserve"> 0 장애인복지관협회비</t>
    <phoneticPr fontId="15" type="noConversion"/>
  </si>
  <si>
    <t>=</t>
    <phoneticPr fontId="15" type="noConversion"/>
  </si>
  <si>
    <t xml:space="preserve"> 0 한국시각장애인복지관협의회비</t>
    <phoneticPr fontId="15" type="noConversion"/>
  </si>
  <si>
    <t xml:space="preserve"> 0 동북협의회 회비</t>
    <phoneticPr fontId="15" type="noConversion"/>
  </si>
  <si>
    <t>분기</t>
    <phoneticPr fontId="15" type="noConversion"/>
  </si>
  <si>
    <t xml:space="preserve"> 0 시설환경개선부담금</t>
    <phoneticPr fontId="15" type="noConversion"/>
  </si>
  <si>
    <t xml:space="preserve"> 0 차량환경개선부담금</t>
    <phoneticPr fontId="15" type="noConversion"/>
  </si>
  <si>
    <t>대</t>
    <phoneticPr fontId="15" type="noConversion"/>
  </si>
  <si>
    <t xml:space="preserve"> 0 자동차세</t>
    <phoneticPr fontId="15" type="noConversion"/>
  </si>
  <si>
    <t xml:space="preserve"> 0 차량보험료</t>
    <phoneticPr fontId="15" type="noConversion"/>
  </si>
  <si>
    <t xml:space="preserve"> 0 이행보증보험료</t>
    <phoneticPr fontId="15" type="noConversion"/>
  </si>
  <si>
    <t xml:space="preserve"> 0 야외행사 영업배상책임</t>
    <phoneticPr fontId="15" type="noConversion"/>
  </si>
  <si>
    <t xml:space="preserve"> 0 신원보증보험료</t>
    <phoneticPr fontId="15" type="noConversion"/>
  </si>
  <si>
    <t>계</t>
    <phoneticPr fontId="15" type="noConversion"/>
  </si>
  <si>
    <t>차량비</t>
    <phoneticPr fontId="15" type="noConversion"/>
  </si>
  <si>
    <t xml:space="preserve"> 0 차량유류비</t>
    <phoneticPr fontId="15" type="noConversion"/>
  </si>
  <si>
    <t xml:space="preserve"> 0 차량유지비</t>
    <phoneticPr fontId="15" type="noConversion"/>
  </si>
  <si>
    <t>연료비</t>
    <phoneticPr fontId="15" type="noConversion"/>
  </si>
  <si>
    <t xml:space="preserve"> 0 도시가스요금</t>
    <phoneticPr fontId="15" type="noConversion"/>
  </si>
  <si>
    <t>기타운영비</t>
    <phoneticPr fontId="15" type="noConversion"/>
  </si>
  <si>
    <t xml:space="preserve">0 기타운영비 </t>
    <phoneticPr fontId="15" type="noConversion"/>
  </si>
  <si>
    <t>재산
조성비</t>
    <phoneticPr fontId="15" type="noConversion"/>
  </si>
  <si>
    <t>시설비</t>
    <phoneticPr fontId="15" type="noConversion"/>
  </si>
  <si>
    <t xml:space="preserve"> 0 시설비</t>
    <phoneticPr fontId="15" type="noConversion"/>
  </si>
  <si>
    <t>자산취득비</t>
    <phoneticPr fontId="15" type="noConversion"/>
  </si>
  <si>
    <t xml:space="preserve"> 0 비품구입비</t>
    <phoneticPr fontId="15" type="noConversion"/>
  </si>
  <si>
    <t>시설장비
유지보수비</t>
    <phoneticPr fontId="15" type="noConversion"/>
  </si>
  <si>
    <t xml:space="preserve"> 0 비품유지보수비</t>
    <phoneticPr fontId="15" type="noConversion"/>
  </si>
  <si>
    <t xml:space="preserve"> 0 건물유지보수비</t>
    <phoneticPr fontId="15" type="noConversion"/>
  </si>
  <si>
    <t>사업비</t>
    <phoneticPr fontId="15" type="noConversion"/>
  </si>
  <si>
    <t>사업비</t>
    <phoneticPr fontId="15" type="noConversion"/>
  </si>
  <si>
    <t>교육재활
사업비</t>
    <phoneticPr fontId="15" type="noConversion"/>
  </si>
  <si>
    <t>회</t>
    <phoneticPr fontId="15" type="noConversion"/>
  </si>
  <si>
    <t>=</t>
    <phoneticPr fontId="15" type="noConversion"/>
  </si>
  <si>
    <t>0 고사장운영비</t>
    <phoneticPr fontId="15" type="noConversion"/>
  </si>
  <si>
    <t>계</t>
    <phoneticPr fontId="15" type="noConversion"/>
  </si>
  <si>
    <t>열린점자교육사업</t>
    <phoneticPr fontId="15" type="noConversion"/>
  </si>
  <si>
    <t>0 자원봉사자 교통비</t>
    <phoneticPr fontId="15" type="noConversion"/>
  </si>
  <si>
    <t>시간</t>
    <phoneticPr fontId="15" type="noConversion"/>
  </si>
  <si>
    <t>주</t>
    <phoneticPr fontId="15" type="noConversion"/>
  </si>
  <si>
    <t>주</t>
    <phoneticPr fontId="15" type="noConversion"/>
  </si>
  <si>
    <t xml:space="preserve">계 </t>
    <phoneticPr fontId="15" type="noConversion"/>
  </si>
  <si>
    <t>자립생활교육사업</t>
    <phoneticPr fontId="15" type="noConversion"/>
  </si>
  <si>
    <t>0 점자판구입비</t>
    <phoneticPr fontId="15" type="noConversion"/>
  </si>
  <si>
    <t>기</t>
    <phoneticPr fontId="15" type="noConversion"/>
  </si>
  <si>
    <t>0 교육생식대</t>
    <phoneticPr fontId="15" type="noConversion"/>
  </si>
  <si>
    <t>0 상해보험료</t>
    <phoneticPr fontId="15" type="noConversion"/>
  </si>
  <si>
    <t>기</t>
    <phoneticPr fontId="15" type="noConversion"/>
  </si>
  <si>
    <t>0 워크숍비용</t>
    <phoneticPr fontId="15" type="noConversion"/>
  </si>
  <si>
    <t>1. 숙박비</t>
    <phoneticPr fontId="15" type="noConversion"/>
  </si>
  <si>
    <t>1. 식비</t>
    <phoneticPr fontId="15" type="noConversion"/>
  </si>
  <si>
    <t>2. 간식비</t>
    <phoneticPr fontId="15" type="noConversion"/>
  </si>
  <si>
    <t>0 기관견학비용</t>
    <phoneticPr fontId="15" type="noConversion"/>
  </si>
  <si>
    <t>개소</t>
    <phoneticPr fontId="15" type="noConversion"/>
  </si>
  <si>
    <t>0 평가회의비</t>
    <phoneticPr fontId="15" type="noConversion"/>
  </si>
  <si>
    <t>2.식비</t>
    <phoneticPr fontId="15" type="noConversion"/>
  </si>
  <si>
    <t>시각장애인
여가활동
사업비</t>
    <phoneticPr fontId="15" type="noConversion"/>
  </si>
  <si>
    <t>0 요리교실</t>
    <phoneticPr fontId="15" type="noConversion"/>
  </si>
  <si>
    <t>1. 강사비</t>
    <phoneticPr fontId="15" type="noConversion"/>
  </si>
  <si>
    <t xml:space="preserve">2. 조리비 </t>
    <phoneticPr fontId="15" type="noConversion"/>
  </si>
  <si>
    <t>1) 식재료 구입비</t>
    <phoneticPr fontId="15" type="noConversion"/>
  </si>
  <si>
    <t>2) 조리 물품 구입비</t>
    <phoneticPr fontId="15" type="noConversion"/>
  </si>
  <si>
    <t>회</t>
    <phoneticPr fontId="15" type="noConversion"/>
  </si>
  <si>
    <t>2) 조리 소모품 구입비</t>
    <phoneticPr fontId="15" type="noConversion"/>
  </si>
  <si>
    <t>3. 홍보비</t>
    <phoneticPr fontId="15" type="noConversion"/>
  </si>
  <si>
    <t>점</t>
    <phoneticPr fontId="15" type="noConversion"/>
  </si>
  <si>
    <t>0 어울림교실</t>
    <phoneticPr fontId="15" type="noConversion"/>
  </si>
  <si>
    <t>개</t>
    <phoneticPr fontId="15" type="noConversion"/>
  </si>
  <si>
    <t>5) 체스</t>
    <phoneticPr fontId="15" type="noConversion"/>
  </si>
  <si>
    <t>2.윷놀이대회비</t>
    <phoneticPr fontId="15" type="noConversion"/>
  </si>
  <si>
    <t>1) 상품권구입비</t>
    <phoneticPr fontId="15" type="noConversion"/>
  </si>
  <si>
    <t>팀</t>
    <phoneticPr fontId="15" type="noConversion"/>
  </si>
  <si>
    <t>2) 다과구입비</t>
    <phoneticPr fontId="15" type="noConversion"/>
  </si>
  <si>
    <t>4) 현수막제작비</t>
    <phoneticPr fontId="15" type="noConversion"/>
  </si>
  <si>
    <t>3. 평가회의비</t>
    <phoneticPr fontId="15" type="noConversion"/>
  </si>
  <si>
    <t>명</t>
    <phoneticPr fontId="15" type="noConversion"/>
  </si>
  <si>
    <t>0 합창단운영</t>
    <phoneticPr fontId="15" type="noConversion"/>
  </si>
  <si>
    <t>1. 강사료</t>
    <phoneticPr fontId="15" type="noConversion"/>
  </si>
  <si>
    <t>1) 지휘자</t>
    <phoneticPr fontId="15" type="noConversion"/>
  </si>
  <si>
    <t>2) 반주자</t>
    <phoneticPr fontId="15" type="noConversion"/>
  </si>
  <si>
    <t>3. 공연참가비</t>
    <phoneticPr fontId="15" type="noConversion"/>
  </si>
  <si>
    <t>1) 식비</t>
    <phoneticPr fontId="15" type="noConversion"/>
  </si>
  <si>
    <t>2) 간식비</t>
    <phoneticPr fontId="15" type="noConversion"/>
  </si>
  <si>
    <t>4. 장기자랑관련비용</t>
    <phoneticPr fontId="15" type="noConversion"/>
  </si>
  <si>
    <t>0 노래교실</t>
    <phoneticPr fontId="15" type="noConversion"/>
  </si>
  <si>
    <t>2. 다과구입비</t>
    <phoneticPr fontId="15" type="noConversion"/>
  </si>
  <si>
    <t>3) 지휘자 사례비</t>
    <phoneticPr fontId="15" type="noConversion"/>
  </si>
  <si>
    <t>4) 반주자 사례비</t>
    <phoneticPr fontId="15" type="noConversion"/>
  </si>
  <si>
    <t>4. 홍보비</t>
    <phoneticPr fontId="15" type="noConversion"/>
  </si>
  <si>
    <t>5. 평가회의비</t>
    <phoneticPr fontId="15" type="noConversion"/>
  </si>
  <si>
    <t>6. 교재구입비</t>
    <phoneticPr fontId="15" type="noConversion"/>
  </si>
  <si>
    <t>계</t>
    <phoneticPr fontId="15" type="noConversion"/>
  </si>
  <si>
    <t>점자문해해득프로그램사업비</t>
    <phoneticPr fontId="15" type="noConversion"/>
  </si>
  <si>
    <t>1. 동호회 활동비</t>
    <phoneticPr fontId="15" type="noConversion"/>
  </si>
  <si>
    <t>2. 사업설명회 관련 비용</t>
    <phoneticPr fontId="15" type="noConversion"/>
  </si>
  <si>
    <t>원데이교실</t>
    <phoneticPr fontId="15" type="noConversion"/>
  </si>
  <si>
    <t>1. 원데이교실 활동비</t>
    <phoneticPr fontId="15" type="noConversion"/>
  </si>
  <si>
    <t>0 강사료</t>
    <phoneticPr fontId="15" type="noConversion"/>
  </si>
  <si>
    <t>1. 마사지</t>
    <phoneticPr fontId="15" type="noConversion"/>
  </si>
  <si>
    <t>3. 근육학</t>
    <phoneticPr fontId="15" type="noConversion"/>
  </si>
  <si>
    <t>4. 침술</t>
    <phoneticPr fontId="15" type="noConversion"/>
  </si>
  <si>
    <t>0 특강강사료</t>
    <phoneticPr fontId="15" type="noConversion"/>
  </si>
  <si>
    <t>1. 창업실무특강</t>
    <phoneticPr fontId="15" type="noConversion"/>
  </si>
  <si>
    <t>2. 창업자금특강</t>
    <phoneticPr fontId="15" type="noConversion"/>
  </si>
  <si>
    <t>0 훈련재료 구입비</t>
    <phoneticPr fontId="15" type="noConversion"/>
  </si>
  <si>
    <t>대</t>
    <phoneticPr fontId="15" type="noConversion"/>
  </si>
  <si>
    <t>0 교재제작비</t>
    <phoneticPr fontId="15" type="noConversion"/>
  </si>
  <si>
    <t>0 현장견학비</t>
    <phoneticPr fontId="15" type="noConversion"/>
  </si>
  <si>
    <t>1. 식대</t>
    <phoneticPr fontId="15" type="noConversion"/>
  </si>
  <si>
    <t>0 훈련재료비</t>
    <phoneticPr fontId="15" type="noConversion"/>
  </si>
  <si>
    <t>0 사회적응훈련비</t>
    <phoneticPr fontId="15" type="noConversion"/>
  </si>
  <si>
    <t>1. 문화체험비</t>
    <phoneticPr fontId="15" type="noConversion"/>
  </si>
  <si>
    <t xml:space="preserve">0 보험료 </t>
    <phoneticPr fontId="15" type="noConversion"/>
  </si>
  <si>
    <t>시각장애인
정보화교육운영사업비</t>
    <phoneticPr fontId="15" type="noConversion"/>
  </si>
  <si>
    <t>1. 기본급</t>
    <phoneticPr fontId="15" type="noConversion"/>
  </si>
  <si>
    <t>1명</t>
    <phoneticPr fontId="15" type="noConversion"/>
  </si>
  <si>
    <t>12</t>
    <phoneticPr fontId="15" type="noConversion"/>
  </si>
  <si>
    <t>개월</t>
    <phoneticPr fontId="15" type="noConversion"/>
  </si>
  <si>
    <t>2. 퇴직적립금</t>
    <phoneticPr fontId="15" type="noConversion"/>
  </si>
  <si>
    <t>1/12</t>
    <phoneticPr fontId="15" type="noConversion"/>
  </si>
  <si>
    <t>=</t>
    <phoneticPr fontId="15" type="noConversion"/>
  </si>
  <si>
    <t>3. 사회보험부담비용</t>
    <phoneticPr fontId="15" type="noConversion"/>
  </si>
  <si>
    <t>10%</t>
    <phoneticPr fontId="15" type="noConversion"/>
  </si>
  <si>
    <t>90%</t>
    <phoneticPr fontId="15" type="noConversion"/>
  </si>
  <si>
    <t>0 강사역량강화 워크숍 교통비</t>
    <phoneticPr fontId="15" type="noConversion"/>
  </si>
  <si>
    <t>0 교육 기자재 구입비</t>
    <phoneticPr fontId="15" type="noConversion"/>
  </si>
  <si>
    <t>5</t>
    <phoneticPr fontId="15" type="noConversion"/>
  </si>
  <si>
    <t>식</t>
    <phoneticPr fontId="15" type="noConversion"/>
  </si>
  <si>
    <t>0 교재구입비</t>
    <phoneticPr fontId="15" type="noConversion"/>
  </si>
  <si>
    <t>권</t>
    <phoneticPr fontId="15" type="noConversion"/>
  </si>
  <si>
    <t>사회심리
재활사업비</t>
    <phoneticPr fontId="15" type="noConversion"/>
  </si>
  <si>
    <t>1. 공기청정기필터관리비</t>
    <phoneticPr fontId="15" type="noConversion"/>
  </si>
  <si>
    <t>1</t>
    <phoneticPr fontId="15" type="noConversion"/>
  </si>
  <si>
    <t>2. 피아노조율비</t>
    <phoneticPr fontId="15" type="noConversion"/>
  </si>
  <si>
    <t>1</t>
    <phoneticPr fontId="15" type="noConversion"/>
  </si>
  <si>
    <t>4. 자문회의비</t>
    <phoneticPr fontId="15" type="noConversion"/>
  </si>
  <si>
    <t>부</t>
    <phoneticPr fontId="15" type="noConversion"/>
  </si>
  <si>
    <t>1) 현수막제작비</t>
    <phoneticPr fontId="15" type="noConversion"/>
  </si>
  <si>
    <t>세트</t>
    <phoneticPr fontId="15" type="noConversion"/>
  </si>
  <si>
    <t>개월</t>
    <phoneticPr fontId="15" type="noConversion"/>
  </si>
  <si>
    <t>합계</t>
    <phoneticPr fontId="15" type="noConversion"/>
  </si>
  <si>
    <t>직업재활
사업비</t>
    <phoneticPr fontId="15" type="noConversion"/>
  </si>
  <si>
    <t>중증장애인
지원고용
사업비</t>
    <phoneticPr fontId="15" type="noConversion"/>
  </si>
  <si>
    <t>1. 출장비</t>
    <phoneticPr fontId="15" type="noConversion"/>
  </si>
  <si>
    <t xml:space="preserve">0 보상금 </t>
    <phoneticPr fontId="15" type="noConversion"/>
  </si>
  <si>
    <t>1. 훈련준비금</t>
    <phoneticPr fontId="15" type="noConversion"/>
  </si>
  <si>
    <t>2. 훈련일비</t>
    <phoneticPr fontId="15" type="noConversion"/>
  </si>
  <si>
    <t>일</t>
    <phoneticPr fontId="15" type="noConversion"/>
  </si>
  <si>
    <t>3. 숙박비</t>
    <phoneticPr fontId="15" type="noConversion"/>
  </si>
  <si>
    <t>3. 사업주 훈련보조금</t>
    <phoneticPr fontId="15" type="noConversion"/>
  </si>
  <si>
    <t>4. 직무지도원 수당</t>
    <phoneticPr fontId="15" type="noConversion"/>
  </si>
  <si>
    <t>2</t>
    <phoneticPr fontId="15" type="noConversion"/>
  </si>
  <si>
    <t>2) 감사패</t>
    <phoneticPr fontId="15" type="noConversion"/>
  </si>
  <si>
    <t>0 식비</t>
    <phoneticPr fontId="15" type="noConversion"/>
  </si>
  <si>
    <t>정보화
사업비</t>
    <phoneticPr fontId="15" type="noConversion"/>
  </si>
  <si>
    <t>넓은마을
운영사업비</t>
    <phoneticPr fontId="15" type="noConversion"/>
  </si>
  <si>
    <t>0 윈도우 서버용 백신구입비</t>
    <phoneticPr fontId="15" type="noConversion"/>
  </si>
  <si>
    <t>개</t>
    <phoneticPr fontId="15" type="noConversion"/>
  </si>
  <si>
    <t xml:space="preserve">계 </t>
    <phoneticPr fontId="15" type="noConversion"/>
  </si>
  <si>
    <t>사이버
방송센터
운영사업비
(ARS)</t>
    <phoneticPr fontId="15" type="noConversion"/>
  </si>
  <si>
    <t>12월</t>
    <phoneticPr fontId="15" type="noConversion"/>
  </si>
  <si>
    <t>0 주간지 정기구독료</t>
    <phoneticPr fontId="15" type="noConversion"/>
  </si>
  <si>
    <t>1. 씨네21</t>
    <phoneticPr fontId="15" type="noConversion"/>
  </si>
  <si>
    <t>50</t>
    <phoneticPr fontId="15" type="noConversion"/>
  </si>
  <si>
    <t>3. 주간조선</t>
    <phoneticPr fontId="15" type="noConversion"/>
  </si>
  <si>
    <t xml:space="preserve">0 월간잡지 정기구독료 </t>
    <phoneticPr fontId="15" type="noConversion"/>
  </si>
  <si>
    <t xml:space="preserve">0 ARS 회선 사용료 </t>
    <phoneticPr fontId="15" type="noConversion"/>
  </si>
  <si>
    <t>0 녹음장비 점검료</t>
    <phoneticPr fontId="15" type="noConversion"/>
  </si>
  <si>
    <t xml:space="preserve">1. 일간 </t>
    <phoneticPr fontId="15" type="noConversion"/>
  </si>
  <si>
    <t xml:space="preserve">일 </t>
    <phoneticPr fontId="15" type="noConversion"/>
  </si>
  <si>
    <t>2. 주간</t>
    <phoneticPr fontId="15" type="noConversion"/>
  </si>
  <si>
    <t>파일</t>
    <phoneticPr fontId="15" type="noConversion"/>
  </si>
  <si>
    <t>3. 월간</t>
    <phoneticPr fontId="15" type="noConversion"/>
  </si>
  <si>
    <t>4. 독서방</t>
    <phoneticPr fontId="15" type="noConversion"/>
  </si>
  <si>
    <t>5. 속보</t>
    <phoneticPr fontId="15" type="noConversion"/>
  </si>
  <si>
    <t>6. 기타</t>
    <phoneticPr fontId="15" type="noConversion"/>
  </si>
  <si>
    <t>0 소리샘 봉사단 간담회비</t>
    <phoneticPr fontId="15" type="noConversion"/>
  </si>
  <si>
    <t>10</t>
    <phoneticPr fontId="15" type="noConversion"/>
  </si>
  <si>
    <t>2. 현수막 제작</t>
    <phoneticPr fontId="15" type="noConversion"/>
  </si>
  <si>
    <t>점</t>
    <phoneticPr fontId="15" type="noConversion"/>
  </si>
  <si>
    <t>0 업무보조 아르바이트비</t>
    <phoneticPr fontId="15" type="noConversion"/>
  </si>
  <si>
    <t>%</t>
    <phoneticPr fontId="15" type="noConversion"/>
  </si>
  <si>
    <t>/</t>
    <phoneticPr fontId="15" type="noConversion"/>
  </si>
  <si>
    <t>0 전용선 사용료</t>
    <phoneticPr fontId="15" type="noConversion"/>
  </si>
  <si>
    <t>녹음도서
제작 및
대출사업비</t>
    <phoneticPr fontId="15" type="noConversion"/>
  </si>
  <si>
    <t xml:space="preserve">0 공CD 50장들이 케잌 구입비 </t>
    <phoneticPr fontId="15" type="noConversion"/>
  </si>
  <si>
    <t>1. 녹음도서</t>
    <phoneticPr fontId="15" type="noConversion"/>
  </si>
  <si>
    <t>통</t>
    <phoneticPr fontId="15" type="noConversion"/>
  </si>
  <si>
    <t>2. 녹음잡지</t>
    <phoneticPr fontId="15" type="noConversion"/>
  </si>
  <si>
    <t>통</t>
    <phoneticPr fontId="15" type="noConversion"/>
  </si>
  <si>
    <t>3. 도서보급</t>
    <phoneticPr fontId="15" type="noConversion"/>
  </si>
  <si>
    <t>0 라벨지 구입비</t>
    <phoneticPr fontId="15" type="noConversion"/>
  </si>
  <si>
    <t>1. CD라벨지</t>
    <phoneticPr fontId="15" type="noConversion"/>
  </si>
  <si>
    <t>2. 주소라벨지</t>
    <phoneticPr fontId="15" type="noConversion"/>
  </si>
  <si>
    <t xml:space="preserve">0 CD케이스 구입비 </t>
    <phoneticPr fontId="15" type="noConversion"/>
  </si>
  <si>
    <t>2. 도서보급</t>
    <phoneticPr fontId="15" type="noConversion"/>
  </si>
  <si>
    <t xml:space="preserve">0 보급형 CD안전봉투 </t>
    <phoneticPr fontId="15" type="noConversion"/>
  </si>
  <si>
    <t xml:space="preserve">0 택배발송용 봉투 </t>
    <phoneticPr fontId="15" type="noConversion"/>
  </si>
  <si>
    <t>0 도서선정위원회 자문회의비</t>
    <phoneticPr fontId="15" type="noConversion"/>
  </si>
  <si>
    <t>0 생활정보지 음원제작비</t>
    <phoneticPr fontId="15" type="noConversion"/>
  </si>
  <si>
    <t>전자도서제작사업비</t>
    <phoneticPr fontId="15" type="noConversion"/>
  </si>
  <si>
    <t>0 도서구입비</t>
    <phoneticPr fontId="15" type="noConversion"/>
  </si>
  <si>
    <t>개월</t>
    <phoneticPr fontId="15" type="noConversion"/>
  </si>
  <si>
    <t>화면해설
방송물
사업비</t>
    <phoneticPr fontId="15" type="noConversion"/>
  </si>
  <si>
    <t>0 작가교실운영비</t>
  </si>
  <si>
    <t>대체자료제작사업비(SK네트웍스)-후원사업</t>
    <phoneticPr fontId="15" type="noConversion"/>
  </si>
  <si>
    <t>0 아르바이트비</t>
    <phoneticPr fontId="15" type="noConversion"/>
  </si>
  <si>
    <t>생활용구 
보급사업비</t>
    <phoneticPr fontId="15" type="noConversion"/>
  </si>
  <si>
    <t>0 접이식흰지팡이5단 제작비</t>
    <phoneticPr fontId="15" type="noConversion"/>
  </si>
  <si>
    <t>0 흰지팡이 구입비</t>
    <phoneticPr fontId="15" type="noConversion"/>
  </si>
  <si>
    <t>0 포장용 부자재 구입비</t>
    <phoneticPr fontId="15" type="noConversion"/>
  </si>
  <si>
    <t>0 기타운영비</t>
    <phoneticPr fontId="15" type="noConversion"/>
  </si>
  <si>
    <t>보조공학기기 수리사업</t>
    <phoneticPr fontId="15" type="noConversion"/>
  </si>
  <si>
    <t>0 한소네 부품구입비</t>
    <phoneticPr fontId="15" type="noConversion"/>
  </si>
  <si>
    <t>0 기타운영비</t>
    <phoneticPr fontId="15" type="noConversion"/>
  </si>
  <si>
    <t>사회교육
사업비</t>
    <phoneticPr fontId="15" type="noConversion"/>
  </si>
  <si>
    <t>장애인
인식개선
사업비</t>
    <phoneticPr fontId="15" type="noConversion"/>
  </si>
  <si>
    <t>0 인식개선사업비</t>
    <phoneticPr fontId="15" type="noConversion"/>
  </si>
  <si>
    <t>실습지도
사업비</t>
    <phoneticPr fontId="15" type="noConversion"/>
  </si>
  <si>
    <t>0 실습지도사업비</t>
    <phoneticPr fontId="15" type="noConversion"/>
  </si>
  <si>
    <t>일</t>
    <phoneticPr fontId="15" type="noConversion"/>
  </si>
  <si>
    <t>2. 평가회비</t>
    <phoneticPr fontId="15" type="noConversion"/>
  </si>
  <si>
    <t>직원직무교육사업비</t>
    <phoneticPr fontId="15" type="noConversion"/>
  </si>
  <si>
    <t>0 직원직무교육사업비</t>
    <phoneticPr fontId="15" type="noConversion"/>
  </si>
  <si>
    <t>0 선진기관연수비</t>
    <phoneticPr fontId="15" type="noConversion"/>
  </si>
  <si>
    <t>스포츠 및 
여가활동
사업비</t>
    <phoneticPr fontId="15" type="noConversion"/>
  </si>
  <si>
    <t>0 텐덤바이크교실</t>
    <phoneticPr fontId="15" type="noConversion"/>
  </si>
  <si>
    <t>1. 식사비</t>
    <phoneticPr fontId="15" type="noConversion"/>
  </si>
  <si>
    <t>3. 유지보수비</t>
    <phoneticPr fontId="15" type="noConversion"/>
  </si>
  <si>
    <t>0  요가교실</t>
    <phoneticPr fontId="15" type="noConversion"/>
  </si>
  <si>
    <t>2. 평가회의비</t>
    <phoneticPr fontId="15" type="noConversion"/>
  </si>
  <si>
    <t>0 등산교실</t>
    <phoneticPr fontId="15" type="noConversion"/>
  </si>
  <si>
    <t>1. 식비</t>
    <phoneticPr fontId="15" type="noConversion"/>
  </si>
  <si>
    <t>2. 차량운영비</t>
    <phoneticPr fontId="15" type="noConversion"/>
  </si>
  <si>
    <t>3. 간식비</t>
    <phoneticPr fontId="15" type="noConversion"/>
  </si>
  <si>
    <t>1. 강습료</t>
    <phoneticPr fontId="15" type="noConversion"/>
  </si>
  <si>
    <t>2. 식비</t>
    <phoneticPr fontId="15" type="noConversion"/>
  </si>
  <si>
    <t>3. 차량운영비</t>
    <phoneticPr fontId="15" type="noConversion"/>
  </si>
  <si>
    <t>4. 간식비</t>
    <phoneticPr fontId="15" type="noConversion"/>
  </si>
  <si>
    <t>0 헬스교실</t>
    <phoneticPr fontId="15" type="noConversion"/>
  </si>
  <si>
    <t>1. 유지보수비</t>
    <phoneticPr fontId="15" type="noConversion"/>
  </si>
  <si>
    <t>0 수영교실</t>
    <phoneticPr fontId="15" type="noConversion"/>
  </si>
  <si>
    <t>2. 체험비</t>
    <phoneticPr fontId="15" type="noConversion"/>
  </si>
  <si>
    <t>0 체험료</t>
    <phoneticPr fontId="15" type="noConversion"/>
  </si>
  <si>
    <t>0 입장료</t>
    <phoneticPr fontId="15" type="noConversion"/>
  </si>
  <si>
    <t>0 숙박비</t>
    <phoneticPr fontId="15" type="noConversion"/>
  </si>
  <si>
    <t>0 대여비</t>
    <phoneticPr fontId="15" type="noConversion"/>
  </si>
  <si>
    <t>0 간식비</t>
    <phoneticPr fontId="15" type="noConversion"/>
  </si>
  <si>
    <t>0 다과비(친교의밤)</t>
    <phoneticPr fontId="15" type="noConversion"/>
  </si>
  <si>
    <t xml:space="preserve">0 현수막제작비 </t>
    <phoneticPr fontId="15" type="noConversion"/>
  </si>
  <si>
    <t xml:space="preserve">0 예비비 </t>
    <phoneticPr fontId="15" type="noConversion"/>
  </si>
  <si>
    <t>0 현수막 제작비</t>
    <phoneticPr fontId="15" type="noConversion"/>
  </si>
  <si>
    <t>0 체험비</t>
    <phoneticPr fontId="15" type="noConversion"/>
  </si>
  <si>
    <t>1인1취미 동호회 운영사업</t>
    <phoneticPr fontId="15" type="noConversion"/>
  </si>
  <si>
    <t>0 1인1취미 동호회 운영사업비</t>
    <phoneticPr fontId="15" type="noConversion"/>
  </si>
  <si>
    <t>지역사회
복지
사업비</t>
    <phoneticPr fontId="15" type="noConversion"/>
  </si>
  <si>
    <t xml:space="preserve">0 인건비 </t>
    <phoneticPr fontId="15" type="noConversion"/>
  </si>
  <si>
    <t xml:space="preserve">1. 급여 </t>
    <phoneticPr fontId="15" type="noConversion"/>
  </si>
  <si>
    <t xml:space="preserve"> 1) 안마사 </t>
    <phoneticPr fontId="15" type="noConversion"/>
  </si>
  <si>
    <t xml:space="preserve"> 2) 사무원</t>
    <phoneticPr fontId="15" type="noConversion"/>
  </si>
  <si>
    <t>2. 사회보험부담비용</t>
    <phoneticPr fontId="15" type="noConversion"/>
  </si>
  <si>
    <t>0.1</t>
    <phoneticPr fontId="15" type="noConversion"/>
  </si>
  <si>
    <t>3. 퇴직적립금</t>
    <phoneticPr fontId="15" type="noConversion"/>
  </si>
  <si>
    <t>0 운영사업비</t>
    <phoneticPr fontId="15" type="noConversion"/>
  </si>
  <si>
    <t>0 기타사업비</t>
    <phoneticPr fontId="15" type="noConversion"/>
  </si>
  <si>
    <t>자원봉사자
운영 및
관리사업비</t>
    <phoneticPr fontId="15" type="noConversion"/>
  </si>
  <si>
    <t>0 자원봉사자 음료 및 간식비</t>
    <phoneticPr fontId="15" type="noConversion"/>
  </si>
  <si>
    <t>0 낭독봉사자 정기 교육비</t>
    <phoneticPr fontId="15" type="noConversion"/>
  </si>
  <si>
    <t>*</t>
    <phoneticPr fontId="15" type="noConversion"/>
  </si>
  <si>
    <t>=</t>
    <phoneticPr fontId="15" type="noConversion"/>
  </si>
  <si>
    <t>2. 다과비</t>
    <phoneticPr fontId="15" type="noConversion"/>
  </si>
  <si>
    <t>0 자원봉사자 식대</t>
    <phoneticPr fontId="15" type="noConversion"/>
  </si>
  <si>
    <t>개</t>
    <phoneticPr fontId="15" type="noConversion"/>
  </si>
  <si>
    <t xml:space="preserve">0. 자원봉사자 송년회 </t>
    <phoneticPr fontId="15" type="noConversion"/>
  </si>
  <si>
    <t>2. 소모품비</t>
    <phoneticPr fontId="15" type="noConversion"/>
  </si>
  <si>
    <t>건</t>
    <phoneticPr fontId="15" type="noConversion"/>
  </si>
  <si>
    <t>4. 감사패(단체)</t>
    <phoneticPr fontId="15" type="noConversion"/>
  </si>
  <si>
    <t>점</t>
    <phoneticPr fontId="15" type="noConversion"/>
  </si>
  <si>
    <t>0. 자원봉사자 이메일 연하장</t>
    <phoneticPr fontId="15" type="noConversion"/>
  </si>
  <si>
    <t>중증여성시각
장애인임신출산및육아양육
지원사업비
(홈헬퍼)</t>
    <phoneticPr fontId="15" type="noConversion"/>
  </si>
  <si>
    <t>0 도우미활동비</t>
    <phoneticPr fontId="15" type="noConversion"/>
  </si>
  <si>
    <t>시간</t>
    <phoneticPr fontId="15" type="noConversion"/>
  </si>
  <si>
    <t>=</t>
    <phoneticPr fontId="15" type="noConversion"/>
  </si>
  <si>
    <t>0 도우미퇴직금</t>
    <phoneticPr fontId="15" type="noConversion"/>
  </si>
  <si>
    <t>0 사대보험료</t>
    <phoneticPr fontId="15" type="noConversion"/>
  </si>
  <si>
    <t>0 배상책임보험료</t>
    <phoneticPr fontId="15" type="noConversion"/>
  </si>
  <si>
    <t>0 상해보험료</t>
    <phoneticPr fontId="15" type="noConversion"/>
  </si>
  <si>
    <t>0 도우미 평가회의비</t>
    <phoneticPr fontId="15" type="noConversion"/>
  </si>
  <si>
    <t>0 이용자 간담회</t>
    <phoneticPr fontId="15" type="noConversion"/>
  </si>
  <si>
    <t>중증여성시각장애인자녀 자녀학습지원사업
(한글교육+멘토링)
사업비</t>
    <phoneticPr fontId="15" type="noConversion"/>
  </si>
  <si>
    <t>가정</t>
    <phoneticPr fontId="15" type="noConversion"/>
  </si>
  <si>
    <t>x</t>
    <phoneticPr fontId="15" type="noConversion"/>
  </si>
  <si>
    <t>가족돌봄휴가사업비</t>
    <phoneticPr fontId="15" type="noConversion"/>
  </si>
  <si>
    <t>0 돌봄휴가 사업비</t>
    <phoneticPr fontId="15" type="noConversion"/>
  </si>
  <si>
    <t>행복한 동행</t>
    <phoneticPr fontId="15" type="noConversion"/>
  </si>
  <si>
    <t>후원회
운영
사업비</t>
    <phoneticPr fontId="15" type="noConversion"/>
  </si>
  <si>
    <t>0 CMS 메카</t>
    <phoneticPr fontId="15" type="noConversion"/>
  </si>
  <si>
    <t>0 CMS 사용료</t>
    <phoneticPr fontId="15" type="noConversion"/>
  </si>
  <si>
    <t>0 CMS 수수료</t>
    <phoneticPr fontId="15" type="noConversion"/>
  </si>
  <si>
    <t>0 후원회 운영사업비</t>
    <phoneticPr fontId="15" type="noConversion"/>
  </si>
  <si>
    <t>소외계층 아동 지원사업</t>
    <phoneticPr fontId="15" type="noConversion"/>
  </si>
  <si>
    <t>0 자원봉사자용 Kit</t>
    <phoneticPr fontId="15" type="noConversion"/>
  </si>
  <si>
    <t>0 증정용 kit 제작비</t>
    <phoneticPr fontId="15" type="noConversion"/>
  </si>
  <si>
    <t>0 행사 진행비</t>
    <phoneticPr fontId="15" type="noConversion"/>
  </si>
  <si>
    <t>팀</t>
    <phoneticPr fontId="15" type="noConversion"/>
  </si>
  <si>
    <t>0 배송 및 관리비</t>
    <phoneticPr fontId="15" type="noConversion"/>
  </si>
  <si>
    <t>거주시설네트워크지원사업</t>
    <phoneticPr fontId="15" type="noConversion"/>
  </si>
  <si>
    <t>0 거주시설네트워크 지원사업비</t>
    <phoneticPr fontId="15" type="noConversion"/>
  </si>
  <si>
    <t>재가복지서비스운영사업비</t>
    <phoneticPr fontId="15" type="noConversion"/>
  </si>
  <si>
    <t>재가시각장애인 후원 및 결연사업(OB맥주)</t>
    <phoneticPr fontId="15" type="noConversion"/>
  </si>
  <si>
    <t>사례관리사업비</t>
    <phoneticPr fontId="15" type="noConversion"/>
  </si>
  <si>
    <t>0 시각장애인복지관 사례관리 네트워크 회의비</t>
    <phoneticPr fontId="15" type="noConversion"/>
  </si>
  <si>
    <t>=</t>
    <phoneticPr fontId="15" type="noConversion"/>
  </si>
  <si>
    <t>계</t>
    <phoneticPr fontId="15" type="noConversion"/>
  </si>
  <si>
    <t>재가
시각장애인 
밑반찬지원
사업비</t>
    <phoneticPr fontId="15" type="noConversion"/>
  </si>
  <si>
    <t>0 포장봉투 구입비</t>
    <phoneticPr fontId="15" type="noConversion"/>
  </si>
  <si>
    <t>코</t>
    <phoneticPr fontId="15" type="noConversion"/>
  </si>
  <si>
    <t>활동보조  서비스    사업비</t>
    <phoneticPr fontId="15" type="noConversion"/>
  </si>
  <si>
    <t xml:space="preserve">0 담당자 인건비 </t>
    <phoneticPr fontId="15" type="noConversion"/>
  </si>
  <si>
    <t xml:space="preserve">1. 인건비 </t>
    <phoneticPr fontId="15" type="noConversion"/>
  </si>
  <si>
    <t>2. 시간외수당</t>
    <phoneticPr fontId="15" type="noConversion"/>
  </si>
  <si>
    <t>3. 담당자 사회보험부담비용</t>
    <phoneticPr fontId="15" type="noConversion"/>
  </si>
  <si>
    <t>1) 건강보험부담금</t>
    <phoneticPr fontId="15" type="noConversion"/>
  </si>
  <si>
    <t>2) 국민연금부담금</t>
    <phoneticPr fontId="15" type="noConversion"/>
  </si>
  <si>
    <t>3) 고용보험부담금</t>
    <phoneticPr fontId="15" type="noConversion"/>
  </si>
  <si>
    <t>4) 산재보험부담금</t>
    <phoneticPr fontId="15" type="noConversion"/>
  </si>
  <si>
    <t>4. 퇴직적립금</t>
    <phoneticPr fontId="15" type="noConversion"/>
  </si>
  <si>
    <t>5. 팀운영비</t>
    <phoneticPr fontId="15" type="noConversion"/>
  </si>
  <si>
    <t>6. 담당자 교육비</t>
    <phoneticPr fontId="15" type="noConversion"/>
  </si>
  <si>
    <t>0 통신비</t>
    <phoneticPr fontId="15" type="noConversion"/>
  </si>
  <si>
    <t>1. 단말기대금</t>
    <phoneticPr fontId="15" type="noConversion"/>
  </si>
  <si>
    <t xml:space="preserve">             (VT-11)</t>
    <phoneticPr fontId="15" type="noConversion"/>
  </si>
  <si>
    <t>2.스마트폰결제지원비</t>
    <phoneticPr fontId="15" type="noConversion"/>
  </si>
  <si>
    <t>3. 크로샷서비스</t>
    <phoneticPr fontId="15" type="noConversion"/>
  </si>
  <si>
    <t>4. 바우처정액제지원비</t>
    <phoneticPr fontId="15" type="noConversion"/>
  </si>
  <si>
    <t>0 보조인 운영비</t>
    <phoneticPr fontId="15" type="noConversion"/>
  </si>
  <si>
    <t>1. 보조인수당</t>
    <phoneticPr fontId="15" type="noConversion"/>
  </si>
  <si>
    <t>2. 보조인 사회보험비용</t>
    <phoneticPr fontId="15" type="noConversion"/>
  </si>
  <si>
    <t>3. 보조인 퇴직적립금</t>
    <phoneticPr fontId="15" type="noConversion"/>
  </si>
  <si>
    <t>4. 보조인 퇴직연금수수료</t>
    <phoneticPr fontId="15" type="noConversion"/>
  </si>
  <si>
    <t>5. 배상보험가입비</t>
    <phoneticPr fontId="15" type="noConversion"/>
  </si>
  <si>
    <t>6. 상해보험가입비</t>
    <phoneticPr fontId="15" type="noConversion"/>
  </si>
  <si>
    <t>0 보조인 워크샵</t>
    <phoneticPr fontId="15" type="noConversion"/>
  </si>
  <si>
    <t>1. 유류비</t>
    <phoneticPr fontId="15" type="noConversion"/>
  </si>
  <si>
    <t>2. 숙박비</t>
    <phoneticPr fontId="15" type="noConversion"/>
  </si>
  <si>
    <t>실</t>
    <phoneticPr fontId="15" type="noConversion"/>
  </si>
  <si>
    <t>3. 체험비</t>
    <phoneticPr fontId="15" type="noConversion"/>
  </si>
  <si>
    <t>4. 친목의밤 행사 및 식사비</t>
    <phoneticPr fontId="15" type="noConversion"/>
  </si>
  <si>
    <t>5. 회의실대관료</t>
    <phoneticPr fontId="15" type="noConversion"/>
  </si>
  <si>
    <t>10. 현수막 제작비</t>
    <phoneticPr fontId="15" type="noConversion"/>
  </si>
  <si>
    <t xml:space="preserve">0 보조인 송년의 밤 </t>
    <phoneticPr fontId="15" type="noConversion"/>
  </si>
  <si>
    <t>2. 우수보조인포상비</t>
    <phoneticPr fontId="15" type="noConversion"/>
  </si>
  <si>
    <t>3. 경품행사비</t>
    <phoneticPr fontId="15" type="noConversion"/>
  </si>
  <si>
    <t>5. 레크레이션진행비</t>
    <phoneticPr fontId="15" type="noConversion"/>
  </si>
  <si>
    <t xml:space="preserve">0 이용자 관리운영비 </t>
    <phoneticPr fontId="15" type="noConversion"/>
  </si>
  <si>
    <t>1. 이용자교육비</t>
    <phoneticPr fontId="15" type="noConversion"/>
  </si>
  <si>
    <t>3. 이용자교육 유류비</t>
    <phoneticPr fontId="15" type="noConversion"/>
  </si>
  <si>
    <t>건</t>
    <phoneticPr fontId="15" type="noConversion"/>
  </si>
  <si>
    <t>5. 식비</t>
    <phoneticPr fontId="15" type="noConversion"/>
  </si>
  <si>
    <t>6. 간식비</t>
    <phoneticPr fontId="15" type="noConversion"/>
  </si>
  <si>
    <t>7. 예비비</t>
    <phoneticPr fontId="15" type="noConversion"/>
  </si>
  <si>
    <t>8. 장기이용자여행 답사비</t>
    <phoneticPr fontId="15" type="noConversion"/>
  </si>
  <si>
    <t>9. 장기이용자여행 유류비</t>
    <phoneticPr fontId="15" type="noConversion"/>
  </si>
  <si>
    <t>0 제공기관 실무자모임 간담회비</t>
    <phoneticPr fontId="15" type="noConversion"/>
  </si>
  <si>
    <t>조사연구
사업비</t>
    <phoneticPr fontId="15" type="noConversion"/>
  </si>
  <si>
    <t>이용자만족도
조사사업비</t>
    <phoneticPr fontId="15" type="noConversion"/>
  </si>
  <si>
    <t>조사연구사업</t>
    <phoneticPr fontId="15" type="noConversion"/>
  </si>
  <si>
    <t>식당운영사업비</t>
    <phoneticPr fontId="15" type="noConversion"/>
  </si>
  <si>
    <t>0 식자재 구입비</t>
    <phoneticPr fontId="15" type="noConversion"/>
  </si>
  <si>
    <t>0 인건비</t>
    <phoneticPr fontId="15" type="noConversion"/>
  </si>
  <si>
    <t>0 퇴직적립금</t>
    <phoneticPr fontId="15" type="noConversion"/>
  </si>
  <si>
    <t>0 사회보험부담금</t>
    <phoneticPr fontId="15" type="noConversion"/>
  </si>
  <si>
    <t>0 음식물수거료</t>
    <phoneticPr fontId="15" type="noConversion"/>
  </si>
  <si>
    <t>0 비품수리비</t>
    <phoneticPr fontId="15" type="noConversion"/>
  </si>
  <si>
    <t>회</t>
    <phoneticPr fontId="15" type="noConversion"/>
  </si>
  <si>
    <t>자판기운영사업비</t>
    <phoneticPr fontId="15" type="noConversion"/>
  </si>
  <si>
    <t>0 자판기 재료구입비</t>
    <phoneticPr fontId="15" type="noConversion"/>
  </si>
  <si>
    <t>=</t>
    <phoneticPr fontId="15" type="noConversion"/>
  </si>
  <si>
    <t>0 커피머신 수리비</t>
    <phoneticPr fontId="15" type="noConversion"/>
  </si>
  <si>
    <t>0 기타운영비</t>
    <phoneticPr fontId="15" type="noConversion"/>
  </si>
  <si>
    <t>홍보
사업비</t>
    <phoneticPr fontId="15" type="noConversion"/>
  </si>
  <si>
    <t>홍보사업비</t>
    <phoneticPr fontId="15" type="noConversion"/>
  </si>
  <si>
    <t>과년도
지출</t>
    <phoneticPr fontId="15" type="noConversion"/>
  </si>
  <si>
    <t>0 과년도지출</t>
    <phoneticPr fontId="15" type="noConversion"/>
  </si>
  <si>
    <t>예비비</t>
    <phoneticPr fontId="15" type="noConversion"/>
  </si>
  <si>
    <t>0 예비비</t>
    <phoneticPr fontId="15" type="noConversion"/>
  </si>
  <si>
    <t>0 반환금</t>
    <phoneticPr fontId="15" type="noConversion"/>
  </si>
  <si>
    <t>회</t>
    <phoneticPr fontId="15" type="noConversion"/>
  </si>
  <si>
    <t>2. 카이로프락틱</t>
    <phoneticPr fontId="15" type="noConversion"/>
  </si>
  <si>
    <t>5. 동방활법</t>
    <phoneticPr fontId="15" type="noConversion"/>
  </si>
  <si>
    <t>2. 자문비</t>
    <phoneticPr fontId="15" type="noConversion"/>
  </si>
  <si>
    <t>3. 교통비</t>
    <phoneticPr fontId="15" type="noConversion"/>
  </si>
  <si>
    <t>4. 기타잡비</t>
    <phoneticPr fontId="15" type="noConversion"/>
  </si>
  <si>
    <t>1. 훈련평가회비</t>
    <phoneticPr fontId="15" type="noConversion"/>
  </si>
  <si>
    <t>&lt;세입&gt;</t>
    <phoneticPr fontId="15" type="noConversion"/>
  </si>
  <si>
    <t>증감</t>
    <phoneticPr fontId="15" type="noConversion"/>
  </si>
  <si>
    <t>산   출   내   역</t>
    <phoneticPr fontId="15" type="noConversion"/>
  </si>
  <si>
    <t>지방비</t>
    <phoneticPr fontId="15" type="noConversion"/>
  </si>
  <si>
    <t>금액</t>
    <phoneticPr fontId="15" type="noConversion"/>
  </si>
  <si>
    <t>비율(%)</t>
    <phoneticPr fontId="15" type="noConversion"/>
  </si>
  <si>
    <t>1인 1취미</t>
    <phoneticPr fontId="15" type="noConversion"/>
  </si>
  <si>
    <t>계</t>
    <phoneticPr fontId="15" type="noConversion"/>
  </si>
  <si>
    <t xml:space="preserve"> </t>
    <phoneticPr fontId="15" type="noConversion"/>
  </si>
  <si>
    <t>거주시설</t>
    <phoneticPr fontId="15" type="noConversion"/>
  </si>
  <si>
    <t>돌봄가족</t>
    <phoneticPr fontId="15" type="noConversion"/>
  </si>
  <si>
    <t>보조금
수입</t>
    <phoneticPr fontId="15" type="noConversion"/>
  </si>
  <si>
    <t xml:space="preserve"> 0 지방비보조금</t>
    <phoneticPr fontId="15" type="noConversion"/>
  </si>
  <si>
    <t>1인1취미, 거주시설, 돌봄가족</t>
    <phoneticPr fontId="15" type="noConversion"/>
  </si>
  <si>
    <t>보조금수입</t>
    <phoneticPr fontId="15" type="noConversion"/>
  </si>
  <si>
    <t>기능보강</t>
    <phoneticPr fontId="15" type="noConversion"/>
  </si>
  <si>
    <t xml:space="preserve"> 0 기능보강 보조금</t>
    <phoneticPr fontId="15" type="noConversion"/>
  </si>
  <si>
    <t>기타보조금수입</t>
    <phoneticPr fontId="15" type="noConversion"/>
  </si>
  <si>
    <t xml:space="preserve"> 0 기타보조금</t>
    <phoneticPr fontId="15" type="noConversion"/>
  </si>
  <si>
    <t>후원금
수입</t>
    <phoneticPr fontId="15" type="noConversion"/>
  </si>
  <si>
    <t>후원금수입</t>
    <phoneticPr fontId="15" type="noConversion"/>
  </si>
  <si>
    <t xml:space="preserve"> (0 지정후원금수입</t>
    <phoneticPr fontId="15" type="noConversion"/>
  </si>
  <si>
    <t xml:space="preserve"> (0 비지정후원금수입</t>
    <phoneticPr fontId="15" type="noConversion"/>
  </si>
  <si>
    <t>전입금</t>
    <phoneticPr fontId="15" type="noConversion"/>
  </si>
  <si>
    <t>희망나눔</t>
    <phoneticPr fontId="15" type="noConversion"/>
  </si>
  <si>
    <t xml:space="preserve"> (0 법인전입금</t>
    <phoneticPr fontId="15" type="noConversion"/>
  </si>
  <si>
    <t>사업수입</t>
    <phoneticPr fontId="15" type="noConversion"/>
  </si>
  <si>
    <t xml:space="preserve"> (0 보조공학기기수리사업수입</t>
    <phoneticPr fontId="15" type="noConversion"/>
  </si>
  <si>
    <t xml:space="preserve"> (0 시각장애인 계절 체험</t>
    <phoneticPr fontId="15" type="noConversion"/>
  </si>
  <si>
    <t>*</t>
    <phoneticPr fontId="15" type="noConversion"/>
  </si>
  <si>
    <t>명</t>
    <phoneticPr fontId="15" type="noConversion"/>
  </si>
  <si>
    <t>회</t>
    <phoneticPr fontId="15" type="noConversion"/>
  </si>
  <si>
    <t>=</t>
    <phoneticPr fontId="15" type="noConversion"/>
  </si>
  <si>
    <t xml:space="preserve"> (0 여름해변캠프사업수입</t>
    <phoneticPr fontId="15" type="noConversion"/>
  </si>
  <si>
    <t xml:space="preserve"> (0 중증장애인활동보조사업수입</t>
    <phoneticPr fontId="15" type="noConversion"/>
  </si>
  <si>
    <t xml:space="preserve"> (0 여가활동사업수입(요리)</t>
    <phoneticPr fontId="15" type="noConversion"/>
  </si>
  <si>
    <t xml:space="preserve"> (0 실습실이용료수입</t>
    <phoneticPr fontId="15" type="noConversion"/>
  </si>
  <si>
    <t xml:space="preserve"> (0 자판기운영사업수입</t>
    <phoneticPr fontId="15" type="noConversion"/>
  </si>
  <si>
    <t xml:space="preserve"> (0 식당운영사업수입</t>
    <phoneticPr fontId="15" type="noConversion"/>
  </si>
  <si>
    <t xml:space="preserve"> (0 물리치료실사업수입</t>
    <phoneticPr fontId="15" type="noConversion"/>
  </si>
  <si>
    <t>월</t>
    <phoneticPr fontId="15" type="noConversion"/>
  </si>
  <si>
    <t>잡수입</t>
    <phoneticPr fontId="15" type="noConversion"/>
  </si>
  <si>
    <t xml:space="preserve"> (0 예금이자수입</t>
    <phoneticPr fontId="15" type="noConversion"/>
  </si>
  <si>
    <t xml:space="preserve"> (0 기타잡수입</t>
  </si>
  <si>
    <t>전년도</t>
    <phoneticPr fontId="15" type="noConversion"/>
  </si>
  <si>
    <t>이월금</t>
    <phoneticPr fontId="15" type="noConversion"/>
  </si>
  <si>
    <t xml:space="preserve"> (0 전년도이월금</t>
    <phoneticPr fontId="15" type="noConversion"/>
  </si>
  <si>
    <t>홈헬퍼</t>
    <phoneticPr fontId="15" type="noConversion"/>
  </si>
  <si>
    <t>중증장애인직업재활지원사업</t>
    <phoneticPr fontId="15" type="noConversion"/>
  </si>
  <si>
    <t>직업능력개발훈련지원금</t>
    <phoneticPr fontId="15" type="noConversion"/>
  </si>
  <si>
    <t>변동</t>
    <phoneticPr fontId="15" type="noConversion"/>
  </si>
  <si>
    <t>홈헬퍼0</t>
    <phoneticPr fontId="15" type="noConversion"/>
  </si>
  <si>
    <t>안마창업0</t>
    <phoneticPr fontId="15" type="noConversion"/>
  </si>
  <si>
    <t>중증장애인지원고용0</t>
    <phoneticPr fontId="15" type="noConversion"/>
  </si>
  <si>
    <r>
      <t>대체자료제작사업(음성)sk네트웍스</t>
    </r>
    <r>
      <rPr>
        <sz val="11"/>
        <rFont val="돋움"/>
        <family val="3"/>
        <charset val="129"/>
      </rPr>
      <t>0</t>
    </r>
    <phoneticPr fontId="15" type="noConversion"/>
  </si>
  <si>
    <t>정보화교육장0</t>
    <phoneticPr fontId="15" type="noConversion"/>
  </si>
  <si>
    <t>사업비 세목까지 분리</t>
    <phoneticPr fontId="15" type="noConversion"/>
  </si>
  <si>
    <t>(단위 : 원)</t>
    <phoneticPr fontId="15" type="noConversion"/>
  </si>
  <si>
    <t>보조금</t>
    <phoneticPr fontId="15" type="noConversion"/>
  </si>
  <si>
    <t>전년도이월금</t>
    <phoneticPr fontId="15" type="noConversion"/>
  </si>
  <si>
    <t>기타보조금</t>
    <phoneticPr fontId="15" type="noConversion"/>
  </si>
  <si>
    <t>후원이월</t>
    <phoneticPr fontId="32" type="noConversion"/>
  </si>
  <si>
    <t>사회보험부담비용</t>
    <phoneticPr fontId="15" type="noConversion"/>
  </si>
  <si>
    <t>기타후생경비</t>
    <phoneticPr fontId="15" type="noConversion"/>
  </si>
  <si>
    <t>업무추진비</t>
    <phoneticPr fontId="15" type="noConversion"/>
  </si>
  <si>
    <t>운영비</t>
    <phoneticPr fontId="15" type="noConversion"/>
  </si>
  <si>
    <t>재산조성비</t>
    <phoneticPr fontId="15" type="noConversion"/>
  </si>
  <si>
    <t>교육재활</t>
    <phoneticPr fontId="15" type="noConversion"/>
  </si>
  <si>
    <t>자립생활교육</t>
    <phoneticPr fontId="32" type="noConversion"/>
  </si>
  <si>
    <t>여가활동</t>
    <phoneticPr fontId="15" type="noConversion"/>
  </si>
  <si>
    <t>정보화교육운영</t>
    <phoneticPr fontId="15" type="noConversion"/>
  </si>
  <si>
    <t>사회심리</t>
    <phoneticPr fontId="15" type="noConversion"/>
  </si>
  <si>
    <t>직업재활</t>
    <phoneticPr fontId="15" type="noConversion"/>
  </si>
  <si>
    <t>중증장애인지원고용</t>
    <phoneticPr fontId="15" type="noConversion"/>
  </si>
  <si>
    <t>정보화</t>
    <phoneticPr fontId="15" type="noConversion"/>
  </si>
  <si>
    <t>넓은마을</t>
    <phoneticPr fontId="15" type="noConversion"/>
  </si>
  <si>
    <t>사이버방송센터(ARS)</t>
    <phoneticPr fontId="15" type="noConversion"/>
  </si>
  <si>
    <t>녹음도서</t>
    <phoneticPr fontId="15" type="noConversion"/>
  </si>
  <si>
    <t>전자도서</t>
    <phoneticPr fontId="15" type="noConversion"/>
  </si>
  <si>
    <t>화면해설방송물</t>
    <phoneticPr fontId="15" type="noConversion"/>
  </si>
  <si>
    <t>보조공학기기수리사업</t>
    <phoneticPr fontId="15" type="noConversion"/>
  </si>
  <si>
    <t>사회교육</t>
    <phoneticPr fontId="15" type="noConversion"/>
  </si>
  <si>
    <t>장애인인식개선사업</t>
    <phoneticPr fontId="15" type="noConversion"/>
  </si>
  <si>
    <t>실습지도사업</t>
    <phoneticPr fontId="15" type="noConversion"/>
  </si>
  <si>
    <t>직원직무교육사업</t>
    <phoneticPr fontId="15" type="noConversion"/>
  </si>
  <si>
    <t>스포츠및
여가활동</t>
    <phoneticPr fontId="15" type="noConversion"/>
  </si>
  <si>
    <t>1인 1취미 동호회</t>
    <phoneticPr fontId="15" type="noConversion"/>
  </si>
  <si>
    <t>지역
사회
복지</t>
    <phoneticPr fontId="15" type="noConversion"/>
  </si>
  <si>
    <t>자원봉사운영관리</t>
    <phoneticPr fontId="15" type="noConversion"/>
  </si>
  <si>
    <t>자녀학습지원</t>
    <phoneticPr fontId="15" type="noConversion"/>
  </si>
  <si>
    <t>희망나눔지원</t>
    <phoneticPr fontId="32" type="noConversion"/>
  </si>
  <si>
    <t>가족돌봄휴가</t>
    <phoneticPr fontId="15" type="noConversion"/>
  </si>
  <si>
    <t>후원회운영사업</t>
    <phoneticPr fontId="15" type="noConversion"/>
  </si>
  <si>
    <t>거주시설네트워크</t>
    <phoneticPr fontId="15" type="noConversion"/>
  </si>
  <si>
    <t>재가복지서비스</t>
    <phoneticPr fontId="15" type="noConversion"/>
  </si>
  <si>
    <t>후원및 결연사업(OB맥주)</t>
    <phoneticPr fontId="15" type="noConversion"/>
  </si>
  <si>
    <t>사례관리사업</t>
    <phoneticPr fontId="15" type="noConversion"/>
  </si>
  <si>
    <t>활보</t>
    <phoneticPr fontId="15" type="noConversion"/>
  </si>
  <si>
    <t>조사연구</t>
    <phoneticPr fontId="15" type="noConversion"/>
  </si>
  <si>
    <t>이용자만족도조사</t>
    <phoneticPr fontId="15" type="noConversion"/>
  </si>
  <si>
    <t>조사연구사업</t>
    <phoneticPr fontId="32" type="noConversion"/>
  </si>
  <si>
    <t>식당</t>
    <phoneticPr fontId="32" type="noConversion"/>
  </si>
  <si>
    <t>식당운영사업</t>
    <phoneticPr fontId="32" type="noConversion"/>
  </si>
  <si>
    <t>홍보사업</t>
    <phoneticPr fontId="15" type="noConversion"/>
  </si>
  <si>
    <t>과년도지출</t>
    <phoneticPr fontId="15" type="noConversion"/>
  </si>
  <si>
    <t>복지관</t>
    <phoneticPr fontId="15" type="noConversion"/>
  </si>
  <si>
    <t>인건비</t>
    <phoneticPr fontId="32" type="noConversion"/>
  </si>
  <si>
    <t>업무추진비</t>
    <phoneticPr fontId="32" type="noConversion"/>
  </si>
  <si>
    <t>운영비</t>
    <phoneticPr fontId="32" type="noConversion"/>
  </si>
  <si>
    <t>재산조성비</t>
    <phoneticPr fontId="32" type="noConversion"/>
  </si>
  <si>
    <t>사업비</t>
    <phoneticPr fontId="32" type="noConversion"/>
  </si>
  <si>
    <t>과년도지출</t>
    <phoneticPr fontId="32" type="noConversion"/>
  </si>
  <si>
    <t>예비비</t>
    <phoneticPr fontId="32" type="noConversion"/>
  </si>
  <si>
    <t>합계</t>
    <phoneticPr fontId="32" type="noConversion"/>
  </si>
  <si>
    <t>생활체육교실사업</t>
    <phoneticPr fontId="15" type="noConversion"/>
  </si>
  <si>
    <t xml:space="preserve"> 안마창업</t>
    <phoneticPr fontId="15" type="noConversion"/>
  </si>
  <si>
    <t>0 여름가족해변캠프</t>
    <phoneticPr fontId="15" type="noConversion"/>
  </si>
  <si>
    <t>0 시각장애인가정 문화체험</t>
    <phoneticPr fontId="15" type="noConversion"/>
  </si>
  <si>
    <t>여가활동지원사업</t>
    <phoneticPr fontId="15" type="noConversion"/>
  </si>
  <si>
    <t>직업능력개발훈련</t>
    <phoneticPr fontId="15" type="noConversion"/>
  </si>
  <si>
    <t>여가활동지원사업</t>
  </si>
  <si>
    <t xml:space="preserve"> 0 복지포인트</t>
    <phoneticPr fontId="15" type="noConversion"/>
  </si>
  <si>
    <t>0</t>
    <phoneticPr fontId="15" type="noConversion"/>
  </si>
  <si>
    <t>0 수상스키 및 웨이크보드 교실</t>
    <phoneticPr fontId="15" type="noConversion"/>
  </si>
  <si>
    <t>식</t>
    <phoneticPr fontId="15" type="noConversion"/>
  </si>
  <si>
    <t>4. 소모품구입비</t>
    <phoneticPr fontId="15" type="noConversion"/>
  </si>
  <si>
    <t>5. 숙박비</t>
    <phoneticPr fontId="15" type="noConversion"/>
  </si>
  <si>
    <t>6. 스키렌탈</t>
    <phoneticPr fontId="15" type="noConversion"/>
  </si>
  <si>
    <t>7. 스키복렌탈</t>
    <phoneticPr fontId="15" type="noConversion"/>
  </si>
  <si>
    <t>8. 리프트이용료</t>
    <phoneticPr fontId="15" type="noConversion"/>
  </si>
  <si>
    <t>9. 차량운영비</t>
    <phoneticPr fontId="15" type="noConversion"/>
  </si>
  <si>
    <t>10. 가이드교통비</t>
    <phoneticPr fontId="15" type="noConversion"/>
  </si>
  <si>
    <t>0 화면해설방송모니터링</t>
  </si>
  <si>
    <t>편</t>
  </si>
  <si>
    <t>0 자원봉사자 식대</t>
  </si>
  <si>
    <t>12</t>
  </si>
  <si>
    <t>0 자원봉사자 음료대</t>
  </si>
  <si>
    <t>실</t>
  </si>
  <si>
    <t>0 화면해설방송제작비</t>
    <phoneticPr fontId="15" type="noConversion"/>
  </si>
  <si>
    <t>편</t>
    <phoneticPr fontId="15" type="noConversion"/>
  </si>
  <si>
    <t>1. 대본작성비</t>
    <phoneticPr fontId="15" type="noConversion"/>
  </si>
  <si>
    <t>2. 더빙비</t>
    <phoneticPr fontId="15" type="noConversion"/>
  </si>
  <si>
    <t xml:space="preserve"> 0 급여</t>
    <phoneticPr fontId="15" type="noConversion"/>
  </si>
  <si>
    <t>3.객실료</t>
    <phoneticPr fontId="15" type="noConversion"/>
  </si>
  <si>
    <t>4.차량대절료</t>
    <phoneticPr fontId="15" type="noConversion"/>
  </si>
  <si>
    <t>5.음료 및 간식</t>
    <phoneticPr fontId="15" type="noConversion"/>
  </si>
  <si>
    <t>1.55%</t>
    <phoneticPr fontId="15" type="noConversion"/>
  </si>
  <si>
    <t>월</t>
    <phoneticPr fontId="15" type="noConversion"/>
  </si>
  <si>
    <t>2. 특근식대</t>
    <phoneticPr fontId="15" type="noConversion"/>
  </si>
  <si>
    <t xml:space="preserve"> 1) 자문비</t>
    <phoneticPr fontId="15" type="noConversion"/>
  </si>
  <si>
    <t xml:space="preserve"> 2) 식대</t>
    <phoneticPr fontId="15" type="noConversion"/>
  </si>
  <si>
    <t>직업지도사업</t>
    <phoneticPr fontId="15" type="noConversion"/>
  </si>
  <si>
    <t>직업적응훈련사업</t>
    <phoneticPr fontId="15" type="noConversion"/>
  </si>
  <si>
    <t>개발원</t>
    <phoneticPr fontId="15" type="noConversion"/>
  </si>
  <si>
    <t>개발원</t>
    <phoneticPr fontId="15" type="noConversion"/>
  </si>
  <si>
    <t>사업체 개발</t>
    <phoneticPr fontId="15" type="noConversion"/>
  </si>
  <si>
    <t>0 직업지도</t>
    <phoneticPr fontId="15" type="noConversion"/>
  </si>
  <si>
    <t>0 직업적응훈련</t>
    <phoneticPr fontId="15" type="noConversion"/>
  </si>
  <si>
    <t>1. 취업자 간담회비</t>
    <phoneticPr fontId="15" type="noConversion"/>
  </si>
  <si>
    <t>2. 취업자 여가생활지원프로그램 문화체험비</t>
    <phoneticPr fontId="15" type="noConversion"/>
  </si>
  <si>
    <t>1) 체험비</t>
    <phoneticPr fontId="15" type="noConversion"/>
  </si>
  <si>
    <t>3. 취업자역량강화교육</t>
    <phoneticPr fontId="15" type="noConversion"/>
  </si>
  <si>
    <t>1) 식사비</t>
    <phoneticPr fontId="15" type="noConversion"/>
  </si>
  <si>
    <t>2) 강사비</t>
    <phoneticPr fontId="15" type="noConversion"/>
  </si>
  <si>
    <t>0 홍보비</t>
    <phoneticPr fontId="15" type="noConversion"/>
  </si>
  <si>
    <t>1. 직업탐색 활동비</t>
    <phoneticPr fontId="15" type="noConversion"/>
  </si>
  <si>
    <t>0 사업체 개발</t>
    <phoneticPr fontId="15" type="noConversion"/>
  </si>
  <si>
    <t>0 훈련수당</t>
    <phoneticPr fontId="15" type="noConversion"/>
  </si>
  <si>
    <t xml:space="preserve">0 사업운영비 </t>
    <phoneticPr fontId="15" type="noConversion"/>
  </si>
  <si>
    <t>2. 일비</t>
    <phoneticPr fontId="15" type="noConversion"/>
  </si>
  <si>
    <t>4. 사업주 보조금</t>
    <phoneticPr fontId="15" type="noConversion"/>
  </si>
  <si>
    <t>5. 직무지도원수당</t>
    <phoneticPr fontId="15" type="noConversion"/>
  </si>
  <si>
    <t>1. 문화체험비</t>
    <phoneticPr fontId="15" type="noConversion"/>
  </si>
  <si>
    <t>1. 소모품 구입비</t>
    <phoneticPr fontId="15" type="noConversion"/>
  </si>
  <si>
    <t>취업알선및취업지원사업</t>
    <phoneticPr fontId="15" type="noConversion"/>
  </si>
  <si>
    <t>2) 간식비(자부담)</t>
    <phoneticPr fontId="15" type="noConversion"/>
  </si>
  <si>
    <t>0 취업알선 및 취업지원사업</t>
    <phoneticPr fontId="15" type="noConversion"/>
  </si>
  <si>
    <t>직재사업</t>
    <phoneticPr fontId="15" type="noConversion"/>
  </si>
  <si>
    <t>중증장애인직업재활지원사업</t>
  </si>
  <si>
    <t>3. 성과발표회 운영비</t>
    <phoneticPr fontId="15" type="noConversion"/>
  </si>
  <si>
    <t>3) 교구구입비</t>
    <phoneticPr fontId="15" type="noConversion"/>
  </si>
  <si>
    <t>2. 음료및 소모품구입비</t>
    <phoneticPr fontId="15" type="noConversion"/>
  </si>
  <si>
    <t>0 교재 제작비</t>
    <phoneticPr fontId="15" type="noConversion"/>
  </si>
  <si>
    <t>1.점자교재</t>
    <phoneticPr fontId="15" type="noConversion"/>
  </si>
  <si>
    <t>2.묵자교재</t>
    <phoneticPr fontId="15" type="noConversion"/>
  </si>
  <si>
    <t>부</t>
    <phoneticPr fontId="15" type="noConversion"/>
  </si>
  <si>
    <t>2. 다과비</t>
    <phoneticPr fontId="15" type="noConversion"/>
  </si>
  <si>
    <t>3) 연주자 간식비</t>
    <phoneticPr fontId="15" type="noConversion"/>
  </si>
  <si>
    <t>4) 무대의상 및 소품비</t>
    <phoneticPr fontId="15" type="noConversion"/>
  </si>
  <si>
    <t>1)하모니카</t>
    <phoneticPr fontId="15" type="noConversion"/>
  </si>
  <si>
    <t>2)색소폰</t>
    <phoneticPr fontId="15" type="noConversion"/>
  </si>
  <si>
    <t>3)오카리나</t>
    <phoneticPr fontId="15" type="noConversion"/>
  </si>
  <si>
    <t>2) 다과비</t>
    <phoneticPr fontId="15" type="noConversion"/>
  </si>
  <si>
    <t>(3,000원*6명*5일*16주*2기*80%</t>
    <phoneticPr fontId="15" type="noConversion"/>
  </si>
  <si>
    <t>1. 선배기수와의 만남비</t>
    <phoneticPr fontId="15" type="noConversion"/>
  </si>
  <si>
    <t>2. 야외활동비</t>
    <phoneticPr fontId="15" type="noConversion"/>
  </si>
  <si>
    <t>0 일상생활훈련비</t>
    <phoneticPr fontId="15" type="noConversion"/>
  </si>
  <si>
    <t>1. 교구구입비</t>
    <phoneticPr fontId="15" type="noConversion"/>
  </si>
  <si>
    <t>2. 식생활훈련비</t>
    <phoneticPr fontId="15" type="noConversion"/>
  </si>
  <si>
    <t>1) 외식체험비</t>
    <phoneticPr fontId="15" type="noConversion"/>
  </si>
  <si>
    <t>2. 교통비</t>
    <phoneticPr fontId="15" type="noConversion"/>
  </si>
  <si>
    <t>3. 식비</t>
    <phoneticPr fontId="15" type="noConversion"/>
  </si>
  <si>
    <t>4. 운영비</t>
    <phoneticPr fontId="15" type="noConversion"/>
  </si>
  <si>
    <t>1) 입장료</t>
    <phoneticPr fontId="15" type="noConversion"/>
  </si>
  <si>
    <t>2) 체험비</t>
    <phoneticPr fontId="15" type="noConversion"/>
  </si>
  <si>
    <t>3) 간식비</t>
    <phoneticPr fontId="15" type="noConversion"/>
  </si>
  <si>
    <t>0 수료식 운영비</t>
    <phoneticPr fontId="15" type="noConversion"/>
  </si>
  <si>
    <t>2. 꽃다발 구입비</t>
    <phoneticPr fontId="15" type="noConversion"/>
  </si>
  <si>
    <t>0 자원봉사자 교통비</t>
    <phoneticPr fontId="15" type="noConversion"/>
  </si>
  <si>
    <t>0 건강걷기교실</t>
    <phoneticPr fontId="15" type="noConversion"/>
  </si>
  <si>
    <t>1. 교구비</t>
    <phoneticPr fontId="15" type="noConversion"/>
  </si>
  <si>
    <t>0 인건비</t>
    <phoneticPr fontId="15" type="noConversion"/>
  </si>
  <si>
    <t>1. 보조금</t>
    <phoneticPr fontId="15" type="noConversion"/>
  </si>
  <si>
    <t>2. 자부담</t>
    <phoneticPr fontId="15" type="noConversion"/>
  </si>
  <si>
    <t xml:space="preserve"> (0 가정문화체험사업수입</t>
    <phoneticPr fontId="15" type="noConversion"/>
  </si>
  <si>
    <t>0 떡구입비</t>
    <phoneticPr fontId="15" type="noConversion"/>
  </si>
  <si>
    <t>7. 보조인보수교육비</t>
    <phoneticPr fontId="15" type="noConversion"/>
  </si>
  <si>
    <t>8. 보조인보수교육수당</t>
    <phoneticPr fontId="15" type="noConversion"/>
  </si>
  <si>
    <t>5. 이용자 답례품비</t>
    <phoneticPr fontId="15" type="noConversion"/>
  </si>
  <si>
    <t>6. 예비비</t>
    <phoneticPr fontId="15" type="noConversion"/>
  </si>
  <si>
    <t>7. 현수막 제작비</t>
    <phoneticPr fontId="15" type="noConversion"/>
  </si>
  <si>
    <t>2. 이용자교육 간식비</t>
    <phoneticPr fontId="15" type="noConversion"/>
  </si>
  <si>
    <t>4. 이용자교육 답사비</t>
    <phoneticPr fontId="15" type="noConversion"/>
  </si>
  <si>
    <t>5. 이용자교육 답사 유류비</t>
    <phoneticPr fontId="15" type="noConversion"/>
  </si>
  <si>
    <t>6. 이용자교육 현수막</t>
    <phoneticPr fontId="15" type="noConversion"/>
  </si>
  <si>
    <t>0 담당자 교육연수비</t>
    <phoneticPr fontId="15" type="noConversion"/>
  </si>
  <si>
    <t>1. 연수비</t>
    <phoneticPr fontId="15" type="noConversion"/>
  </si>
  <si>
    <t>1</t>
    <phoneticPr fontId="15" type="noConversion"/>
  </si>
  <si>
    <t>4</t>
    <phoneticPr fontId="15" type="noConversion"/>
  </si>
  <si>
    <t>500</t>
    <phoneticPr fontId="15" type="noConversion"/>
  </si>
  <si>
    <t>0 기타물품</t>
    <phoneticPr fontId="15" type="noConversion"/>
  </si>
  <si>
    <t>0 장어탕 용기구입비</t>
    <phoneticPr fontId="15" type="noConversion"/>
  </si>
  <si>
    <t xml:space="preserve"> (0 임가공수입금(직업적응훈련)</t>
    <phoneticPr fontId="15" type="noConversion"/>
  </si>
  <si>
    <t>1. 일상생활훈련 용품구입비</t>
    <phoneticPr fontId="15" type="noConversion"/>
  </si>
  <si>
    <t>4. 홍보비(현수막)</t>
    <phoneticPr fontId="15" type="noConversion"/>
  </si>
  <si>
    <t xml:space="preserve"> 0 사무용 피씨 백신구입비</t>
    <phoneticPr fontId="15" type="noConversion"/>
  </si>
  <si>
    <t>일</t>
    <phoneticPr fontId="15" type="noConversion"/>
  </si>
  <si>
    <t>=</t>
    <phoneticPr fontId="15" type="noConversion"/>
  </si>
  <si>
    <t>0 점자책 제작비</t>
    <phoneticPr fontId="15" type="noConversion"/>
  </si>
  <si>
    <t>0 CD제작비</t>
    <phoneticPr fontId="15" type="noConversion"/>
  </si>
  <si>
    <t>0 평가회의비</t>
    <phoneticPr fontId="15" type="noConversion"/>
  </si>
  <si>
    <t>0 간담회비</t>
    <phoneticPr fontId="15" type="noConversion"/>
  </si>
  <si>
    <t>직재 인건비</t>
    <phoneticPr fontId="15" type="noConversion"/>
  </si>
  <si>
    <t>시각장애인가족장애이해교육</t>
    <phoneticPr fontId="15" type="noConversion"/>
  </si>
  <si>
    <t>0 직원연수비</t>
    <phoneticPr fontId="15" type="noConversion"/>
  </si>
  <si>
    <t>활보이월</t>
    <phoneticPr fontId="15" type="noConversion"/>
  </si>
  <si>
    <t xml:space="preserve"> (0 취업알선및취업지원사업</t>
    <phoneticPr fontId="15" type="noConversion"/>
  </si>
  <si>
    <t xml:space="preserve"> (0 등산교실사업수입* </t>
    <phoneticPr fontId="15" type="noConversion"/>
  </si>
  <si>
    <t xml:space="preserve"> (0 수영교실사업수입* </t>
    <phoneticPr fontId="15" type="noConversion"/>
  </si>
  <si>
    <t xml:space="preserve"> (0 요가교실사업수입*</t>
    <phoneticPr fontId="15" type="noConversion"/>
  </si>
  <si>
    <t>1보조금</t>
    <phoneticPr fontId="15" type="noConversion"/>
  </si>
  <si>
    <t>2전년도이월금</t>
    <phoneticPr fontId="15" type="noConversion"/>
  </si>
  <si>
    <t>3사업수입</t>
    <phoneticPr fontId="15" type="noConversion"/>
  </si>
  <si>
    <t>3후원이월</t>
    <phoneticPr fontId="32" type="noConversion"/>
  </si>
  <si>
    <t>급여</t>
    <phoneticPr fontId="15" type="noConversion"/>
  </si>
  <si>
    <t>수당</t>
    <phoneticPr fontId="15" type="noConversion"/>
  </si>
  <si>
    <t>2명*15시간*12월</t>
    <phoneticPr fontId="15" type="noConversion"/>
  </si>
  <si>
    <t>6. 담당자선물구입비</t>
    <phoneticPr fontId="15" type="noConversion"/>
  </si>
  <si>
    <t xml:space="preserve"> (0 건강걷기교실사업수입*</t>
    <phoneticPr fontId="15" type="noConversion"/>
  </si>
  <si>
    <t>국내여비</t>
    <phoneticPr fontId="15" type="noConversion"/>
  </si>
  <si>
    <t>국외여비</t>
    <phoneticPr fontId="15" type="noConversion"/>
  </si>
  <si>
    <t>소모품구입비</t>
    <phoneticPr fontId="15" type="noConversion"/>
  </si>
  <si>
    <t>인쇄비</t>
    <phoneticPr fontId="15" type="noConversion"/>
  </si>
  <si>
    <t>수수료</t>
    <phoneticPr fontId="15" type="noConversion"/>
  </si>
  <si>
    <t>회계법인 감사수수료</t>
    <phoneticPr fontId="15" type="noConversion"/>
  </si>
  <si>
    <t>퇴직연금 수수료</t>
    <phoneticPr fontId="15" type="noConversion"/>
  </si>
  <si>
    <t>CATV 시청료</t>
    <phoneticPr fontId="15" type="noConversion"/>
  </si>
  <si>
    <t>소방시설관리비</t>
    <phoneticPr fontId="15" type="noConversion"/>
  </si>
  <si>
    <t>내부소독비</t>
    <phoneticPr fontId="15" type="noConversion"/>
  </si>
  <si>
    <t>외벽청소비</t>
    <phoneticPr fontId="15" type="noConversion"/>
  </si>
  <si>
    <t>왁스청소비</t>
    <phoneticPr fontId="15" type="noConversion"/>
  </si>
  <si>
    <t>설비검사비</t>
    <phoneticPr fontId="15" type="noConversion"/>
  </si>
  <si>
    <t>비데청소비</t>
    <phoneticPr fontId="15" type="noConversion"/>
  </si>
  <si>
    <t>수질검사비</t>
    <phoneticPr fontId="15" type="noConversion"/>
  </si>
  <si>
    <t>보일러유지보수비</t>
    <phoneticPr fontId="15" type="noConversion"/>
  </si>
  <si>
    <t>기타잡비</t>
    <phoneticPr fontId="15" type="noConversion"/>
  </si>
  <si>
    <t>전기요금</t>
    <phoneticPr fontId="15" type="noConversion"/>
  </si>
  <si>
    <t>상하수도요금</t>
    <phoneticPr fontId="15" type="noConversion"/>
  </si>
  <si>
    <t>전화요금</t>
    <phoneticPr fontId="15" type="noConversion"/>
  </si>
  <si>
    <t>우편요금</t>
    <phoneticPr fontId="15" type="noConversion"/>
  </si>
  <si>
    <t>한국시각장애인복지관협의회비</t>
    <phoneticPr fontId="15" type="noConversion"/>
  </si>
  <si>
    <t>차량환경개선부담금</t>
    <phoneticPr fontId="15" type="noConversion"/>
  </si>
  <si>
    <t>자동차세</t>
    <phoneticPr fontId="15" type="noConversion"/>
  </si>
  <si>
    <t>차량보험료</t>
    <phoneticPr fontId="15" type="noConversion"/>
  </si>
  <si>
    <t>야외행사 영업배상책임</t>
    <phoneticPr fontId="15" type="noConversion"/>
  </si>
  <si>
    <t>이행보증보험료</t>
    <phoneticPr fontId="15" type="noConversion"/>
  </si>
  <si>
    <t>신원보증보험료</t>
    <phoneticPr fontId="15" type="noConversion"/>
  </si>
  <si>
    <t>차량유류비</t>
    <phoneticPr fontId="15" type="noConversion"/>
  </si>
  <si>
    <t>챠량유지비</t>
    <phoneticPr fontId="15" type="noConversion"/>
  </si>
  <si>
    <t>도시가스요금</t>
    <phoneticPr fontId="15" type="noConversion"/>
  </si>
  <si>
    <t>기타운영비</t>
    <phoneticPr fontId="15" type="noConversion"/>
  </si>
  <si>
    <t>시설비</t>
    <phoneticPr fontId="15" type="noConversion"/>
  </si>
  <si>
    <t>비품구입비</t>
    <phoneticPr fontId="15" type="noConversion"/>
  </si>
  <si>
    <t>정품프로그램구입비</t>
    <phoneticPr fontId="15" type="noConversion"/>
  </si>
  <si>
    <t>컴퓨터구입비</t>
    <phoneticPr fontId="15" type="noConversion"/>
  </si>
  <si>
    <t>기능보강(차량)</t>
    <phoneticPr fontId="15" type="noConversion"/>
  </si>
  <si>
    <t>비품유지보수비</t>
    <phoneticPr fontId="15" type="noConversion"/>
  </si>
  <si>
    <t>건물유지보수비</t>
    <phoneticPr fontId="15" type="noConversion"/>
  </si>
  <si>
    <t>사무용 PC 백신구입비</t>
    <phoneticPr fontId="15" type="noConversion"/>
  </si>
  <si>
    <t>사무용품구입비</t>
    <phoneticPr fontId="15" type="noConversion"/>
  </si>
  <si>
    <t>엘리베이터 검사비</t>
    <phoneticPr fontId="15" type="noConversion"/>
  </si>
  <si>
    <t>소방안전협회비</t>
    <phoneticPr fontId="15" type="noConversion"/>
  </si>
  <si>
    <t>한국가스안전검사비</t>
    <phoneticPr fontId="15" type="noConversion"/>
  </si>
  <si>
    <t>전기안전관리대행료</t>
    <phoneticPr fontId="15" type="noConversion"/>
  </si>
  <si>
    <t>근태 및 보안시스템 사용료</t>
    <phoneticPr fontId="15" type="noConversion"/>
  </si>
  <si>
    <t>엘리베이터 유지보수료</t>
    <phoneticPr fontId="15" type="noConversion"/>
  </si>
  <si>
    <t>정수기 렌탈비</t>
    <phoneticPr fontId="15" type="noConversion"/>
  </si>
  <si>
    <t>전화기 유지보수비</t>
    <phoneticPr fontId="15" type="noConversion"/>
  </si>
  <si>
    <t>정수기 필터관리비</t>
    <phoneticPr fontId="15" type="noConversion"/>
  </si>
  <si>
    <t>복사기 유지보수비</t>
    <phoneticPr fontId="15" type="noConversion"/>
  </si>
  <si>
    <t>배관청소비</t>
    <phoneticPr fontId="15" type="noConversion"/>
  </si>
  <si>
    <t>물탱크 청소비</t>
    <phoneticPr fontId="15" type="noConversion"/>
  </si>
  <si>
    <t>홈페이지 유지보수비</t>
    <phoneticPr fontId="15" type="noConversion"/>
  </si>
  <si>
    <t>장애인복지관협회비</t>
    <phoneticPr fontId="15" type="noConversion"/>
  </si>
  <si>
    <t>동북협의회 회비</t>
    <phoneticPr fontId="15" type="noConversion"/>
  </si>
  <si>
    <t>기능보강(고압수전)</t>
    <phoneticPr fontId="15" type="noConversion"/>
  </si>
  <si>
    <t>자판기운영사업</t>
    <phoneticPr fontId="32" type="noConversion"/>
  </si>
  <si>
    <t>활보수입</t>
    <phoneticPr fontId="15" type="noConversion"/>
  </si>
  <si>
    <t>1</t>
    <phoneticPr fontId="15" type="noConversion"/>
  </si>
  <si>
    <t>5</t>
    <phoneticPr fontId="15" type="noConversion"/>
  </si>
  <si>
    <t>대체자료제작사업-후원</t>
    <phoneticPr fontId="15" type="noConversion"/>
  </si>
  <si>
    <t>&lt;세입. 세출 총괄&gt;</t>
    <phoneticPr fontId="15" type="noConversion"/>
  </si>
  <si>
    <t>(단위 : 천원)</t>
    <phoneticPr fontId="15" type="noConversion"/>
  </si>
  <si>
    <t>세   입</t>
    <phoneticPr fontId="15" type="noConversion"/>
  </si>
  <si>
    <t>세   출</t>
    <phoneticPr fontId="15" type="noConversion"/>
  </si>
  <si>
    <t>항</t>
    <phoneticPr fontId="15" type="noConversion"/>
  </si>
  <si>
    <t>목</t>
    <phoneticPr fontId="15" type="noConversion"/>
  </si>
  <si>
    <t>증감(B-A)</t>
    <phoneticPr fontId="15" type="noConversion"/>
  </si>
  <si>
    <t>금액</t>
    <phoneticPr fontId="15" type="noConversion"/>
  </si>
  <si>
    <t>비율(%)</t>
    <phoneticPr fontId="15" type="noConversion"/>
  </si>
  <si>
    <t>&lt;세입. 세출 총괄&gt;</t>
    <phoneticPr fontId="15" type="noConversion"/>
  </si>
  <si>
    <t>(단위 : 천원)</t>
    <phoneticPr fontId="15" type="noConversion"/>
  </si>
  <si>
    <t>세   입</t>
    <phoneticPr fontId="15" type="noConversion"/>
  </si>
  <si>
    <t>관</t>
    <phoneticPr fontId="15" type="noConversion"/>
  </si>
  <si>
    <t>음악정서지원
사업비</t>
    <phoneticPr fontId="15" type="noConversion"/>
  </si>
  <si>
    <t>0 음악정서지원사업비</t>
    <phoneticPr fontId="15" type="noConversion"/>
  </si>
  <si>
    <t>음악정서지원사업</t>
    <phoneticPr fontId="15" type="noConversion"/>
  </si>
  <si>
    <t>이월</t>
    <phoneticPr fontId="15" type="noConversion"/>
  </si>
  <si>
    <t>반환금</t>
    <phoneticPr fontId="15" type="noConversion"/>
  </si>
  <si>
    <t>`</t>
    <phoneticPr fontId="15" type="noConversion"/>
  </si>
  <si>
    <t>*</t>
    <phoneticPr fontId="15" type="noConversion"/>
  </si>
  <si>
    <t>회</t>
    <phoneticPr fontId="15" type="noConversion"/>
  </si>
  <si>
    <t>12</t>
    <phoneticPr fontId="15" type="noConversion"/>
  </si>
  <si>
    <t>월</t>
    <phoneticPr fontId="15" type="noConversion"/>
  </si>
  <si>
    <t>1</t>
    <phoneticPr fontId="15" type="noConversion"/>
  </si>
  <si>
    <t>2. 주간경향</t>
    <phoneticPr fontId="15" type="noConversion"/>
  </si>
  <si>
    <t>1. 우먼센스</t>
    <phoneticPr fontId="15" type="noConversion"/>
  </si>
  <si>
    <t>0 낭독 활동비</t>
    <phoneticPr fontId="15" type="noConversion"/>
  </si>
  <si>
    <t>299</t>
    <phoneticPr fontId="15" type="noConversion"/>
  </si>
  <si>
    <t>*</t>
    <phoneticPr fontId="15" type="noConversion"/>
  </si>
  <si>
    <t>0</t>
    <phoneticPr fontId="15" type="noConversion"/>
  </si>
  <si>
    <t>0 도서관리 프로그램 유지보수비</t>
    <phoneticPr fontId="15" type="noConversion"/>
  </si>
  <si>
    <t>10권</t>
    <phoneticPr fontId="15" type="noConversion"/>
  </si>
  <si>
    <t>0 성음회비</t>
    <phoneticPr fontId="15" type="noConversion"/>
  </si>
  <si>
    <t>5. 경품구입비</t>
    <phoneticPr fontId="15" type="noConversion"/>
  </si>
  <si>
    <t>6. 현수막 구입비</t>
    <phoneticPr fontId="15" type="noConversion"/>
  </si>
  <si>
    <t>7. 기념품제작비</t>
    <phoneticPr fontId="15" type="noConversion"/>
  </si>
  <si>
    <t xml:space="preserve"> (0 수상스키및웨이크교실사업수입* </t>
    <phoneticPr fontId="15" type="noConversion"/>
  </si>
  <si>
    <t xml:space="preserve"> (0 시각장애아동 어린이수영교실 사업수입*</t>
    <phoneticPr fontId="15" type="noConversion"/>
  </si>
  <si>
    <t>1. 간식비</t>
    <phoneticPr fontId="15" type="noConversion"/>
  </si>
  <si>
    <t>0 GX교실</t>
    <phoneticPr fontId="15" type="noConversion"/>
  </si>
  <si>
    <t>2. 차량유류비</t>
    <phoneticPr fontId="15" type="noConversion"/>
  </si>
  <si>
    <t>0 스키캠프</t>
    <phoneticPr fontId="15" type="noConversion"/>
  </si>
  <si>
    <t>0 쇼다운교실</t>
    <phoneticPr fontId="15" type="noConversion"/>
  </si>
  <si>
    <t>0 전문선수육성교실</t>
    <phoneticPr fontId="15" type="noConversion"/>
  </si>
  <si>
    <t xml:space="preserve"> (0 수목원 산책사업수입</t>
    <phoneticPr fontId="15" type="noConversion"/>
  </si>
  <si>
    <t>0 유류비</t>
    <phoneticPr fontId="15" type="noConversion"/>
  </si>
  <si>
    <t xml:space="preserve">0 답사비 </t>
    <phoneticPr fontId="15" type="noConversion"/>
  </si>
  <si>
    <t>명</t>
    <phoneticPr fontId="15" type="noConversion"/>
  </si>
  <si>
    <t>0 시각장애어르신 효사랑 큰잔치</t>
    <phoneticPr fontId="15" type="noConversion"/>
  </si>
  <si>
    <t>0  시각장애어르신 봄맞이 나들이</t>
    <phoneticPr fontId="15" type="noConversion"/>
  </si>
  <si>
    <t>0 지역주민과 함께하는 계절체험활동</t>
    <phoneticPr fontId="15" type="noConversion"/>
  </si>
  <si>
    <t>0 지역주민과 함께하는 수목원 산책</t>
    <phoneticPr fontId="15" type="noConversion"/>
  </si>
  <si>
    <t>주거환경개선사업</t>
    <phoneticPr fontId="32" type="noConversion"/>
  </si>
  <si>
    <t>재가
시각장애인          주거환경개선사업</t>
    <phoneticPr fontId="15" type="noConversion"/>
  </si>
  <si>
    <t>0 차량구입 및 개조비</t>
    <phoneticPr fontId="15" type="noConversion"/>
  </si>
  <si>
    <t>0 인건비</t>
    <phoneticPr fontId="15" type="noConversion"/>
  </si>
  <si>
    <t>1) 수리기사</t>
    <phoneticPr fontId="15" type="noConversion"/>
  </si>
  <si>
    <t>2) 접수상담 및 모니터링</t>
    <phoneticPr fontId="15" type="noConversion"/>
  </si>
  <si>
    <t>3) 수리보조 인력</t>
    <phoneticPr fontId="15" type="noConversion"/>
  </si>
  <si>
    <t>0 주유비</t>
    <phoneticPr fontId="15" type="noConversion"/>
  </si>
  <si>
    <t>0 화재감지기</t>
    <phoneticPr fontId="15" type="noConversion"/>
  </si>
  <si>
    <t>0 안전콘센트</t>
    <phoneticPr fontId="15" type="noConversion"/>
  </si>
  <si>
    <t>0 자석식 비누홀더</t>
    <phoneticPr fontId="15" type="noConversion"/>
  </si>
  <si>
    <t>0 기본공구 및 자재비</t>
    <phoneticPr fontId="15" type="noConversion"/>
  </si>
  <si>
    <t>0 기타소모품 구입비</t>
    <phoneticPr fontId="15" type="noConversion"/>
  </si>
  <si>
    <t>0 자동가스차단기 구입 및 설치비</t>
    <phoneticPr fontId="15" type="noConversion"/>
  </si>
  <si>
    <t>0 미끄럼방지 코팅</t>
    <phoneticPr fontId="15" type="noConversion"/>
  </si>
  <si>
    <t>0 인덕션 가스렌지 교체비</t>
    <phoneticPr fontId="15" type="noConversion"/>
  </si>
  <si>
    <t>가정</t>
    <phoneticPr fontId="15" type="noConversion"/>
  </si>
  <si>
    <t>0 홈헬퍼교육비</t>
    <phoneticPr fontId="15" type="noConversion"/>
  </si>
  <si>
    <t xml:space="preserve">             (UT-55)</t>
    <phoneticPr fontId="15" type="noConversion"/>
  </si>
  <si>
    <t>10. 보조인 연차수당</t>
    <phoneticPr fontId="15" type="noConversion"/>
  </si>
  <si>
    <t>9. 보조인 연합보수교육비</t>
    <phoneticPr fontId="15" type="noConversion"/>
  </si>
  <si>
    <t>4. 기념품 제작비(여행용파우치)</t>
    <phoneticPr fontId="15" type="noConversion"/>
  </si>
  <si>
    <t>1. 이용자교육 및 간담회비(상반기)</t>
    <phoneticPr fontId="15" type="noConversion"/>
  </si>
  <si>
    <t>2. 이용자교육 및 간담회비(하반기)</t>
    <phoneticPr fontId="15" type="noConversion"/>
  </si>
  <si>
    <t>3. 이용자 가정방문비</t>
    <phoneticPr fontId="15" type="noConversion"/>
  </si>
  <si>
    <t>1. 강사비</t>
    <phoneticPr fontId="15" type="noConversion"/>
  </si>
  <si>
    <t>1) 대인관계교육 강사비</t>
    <phoneticPr fontId="15" type="noConversion"/>
  </si>
  <si>
    <t>2) 기초노무교육 강사비</t>
    <phoneticPr fontId="15" type="noConversion"/>
  </si>
  <si>
    <t>2. 교육생 활동비</t>
    <phoneticPr fontId="15" type="noConversion"/>
  </si>
  <si>
    <t>2. 직업평가도구 소모품 구입비</t>
    <phoneticPr fontId="15" type="noConversion"/>
  </si>
  <si>
    <t>1) 혈당시험지</t>
    <phoneticPr fontId="15" type="noConversion"/>
  </si>
  <si>
    <t>2) 알콜솜</t>
    <phoneticPr fontId="15" type="noConversion"/>
  </si>
  <si>
    <t>3) 채혈침</t>
    <phoneticPr fontId="15" type="noConversion"/>
  </si>
  <si>
    <t>4) 구취검사기기</t>
    <phoneticPr fontId="15" type="noConversion"/>
  </si>
  <si>
    <t>5) 1회용 마우스피스</t>
    <phoneticPr fontId="15" type="noConversion"/>
  </si>
  <si>
    <t>박스</t>
    <phoneticPr fontId="15" type="noConversion"/>
  </si>
  <si>
    <t>박스</t>
    <phoneticPr fontId="15" type="noConversion"/>
  </si>
  <si>
    <t>2) 활동비</t>
    <phoneticPr fontId="15" type="noConversion"/>
  </si>
  <si>
    <t>3. 지역사회이용비</t>
    <phoneticPr fontId="15" type="noConversion"/>
  </si>
  <si>
    <t>2) 간식비</t>
    <phoneticPr fontId="15" type="noConversion"/>
  </si>
  <si>
    <t>4. 여가활동비</t>
    <phoneticPr fontId="15" type="noConversion"/>
  </si>
  <si>
    <t>1) 체험비</t>
    <phoneticPr fontId="15" type="noConversion"/>
  </si>
  <si>
    <t>2) 식사비</t>
    <phoneticPr fontId="15" type="noConversion"/>
  </si>
  <si>
    <t>3) 간식비</t>
    <phoneticPr fontId="15" type="noConversion"/>
  </si>
  <si>
    <t>5. 사무용품구입비</t>
    <phoneticPr fontId="15" type="noConversion"/>
  </si>
  <si>
    <t>1) 생일케이크 구입비</t>
    <phoneticPr fontId="15" type="noConversion"/>
  </si>
  <si>
    <t>명</t>
    <phoneticPr fontId="15" type="noConversion"/>
  </si>
  <si>
    <t>3. 사업체 간담회비</t>
    <phoneticPr fontId="15" type="noConversion"/>
  </si>
  <si>
    <t xml:space="preserve"> 1) 회의실 대관료</t>
    <phoneticPr fontId="15" type="noConversion"/>
  </si>
  <si>
    <t xml:space="preserve"> 2) 다과비</t>
    <phoneticPr fontId="15" type="noConversion"/>
  </si>
  <si>
    <t>이용자부담 200</t>
    <phoneticPr fontId="15" type="noConversion"/>
  </si>
  <si>
    <t xml:space="preserve">   평가회비(이용자부담)</t>
    <phoneticPr fontId="15" type="noConversion"/>
  </si>
  <si>
    <t>3) 상품권 구입비</t>
    <phoneticPr fontId="15" type="noConversion"/>
  </si>
  <si>
    <t>4) 우편발송비</t>
    <phoneticPr fontId="15" type="noConversion"/>
  </si>
  <si>
    <t>2. 취업자평가회비</t>
    <phoneticPr fontId="15" type="noConversion"/>
  </si>
  <si>
    <t>1) 홍보물 제작비</t>
    <phoneticPr fontId="15" type="noConversion"/>
  </si>
  <si>
    <t>300</t>
    <phoneticPr fontId="15" type="noConversion"/>
  </si>
  <si>
    <t>6. 창업이론</t>
    <phoneticPr fontId="15" type="noConversion"/>
  </si>
  <si>
    <t>7. 보조강사료</t>
    <phoneticPr fontId="15" type="noConversion"/>
  </si>
  <si>
    <t>8. 4대보험료</t>
    <phoneticPr fontId="15" type="noConversion"/>
  </si>
  <si>
    <t>(20,000 * 1부(2권) * 10명 * 2기</t>
    <phoneticPr fontId="15" type="noConversion"/>
  </si>
  <si>
    <t>0 현장체험비</t>
    <phoneticPr fontId="15" type="noConversion"/>
  </si>
  <si>
    <t>0 자문위원회비</t>
    <phoneticPr fontId="15" type="noConversion"/>
  </si>
  <si>
    <t>0 훈련평가회 및 수료식비</t>
    <phoneticPr fontId="15" type="noConversion"/>
  </si>
  <si>
    <t>2. 훈련생 관리비</t>
    <phoneticPr fontId="15" type="noConversion"/>
  </si>
  <si>
    <t>1) 안마사</t>
    <phoneticPr fontId="15" type="noConversion"/>
  </si>
  <si>
    <t>2) 사무원</t>
    <phoneticPr fontId="15" type="noConversion"/>
  </si>
  <si>
    <t>1/12</t>
    <phoneticPr fontId="15" type="noConversion"/>
  </si>
  <si>
    <t>헬스키퍼0</t>
    <phoneticPr fontId="15" type="noConversion"/>
  </si>
  <si>
    <t>헬스키퍼</t>
    <phoneticPr fontId="15" type="noConversion"/>
  </si>
  <si>
    <t>1. 전신안마 강사료</t>
    <phoneticPr fontId="15" type="noConversion"/>
  </si>
  <si>
    <t>2. 부분안마1(목-허리) 강사료</t>
    <phoneticPr fontId="15" type="noConversion"/>
  </si>
  <si>
    <t>3. 부분안마2(종아리-발) 강사료</t>
    <phoneticPr fontId="15" type="noConversion"/>
  </si>
  <si>
    <t>4. 딥티슈-림프마사지 강사료</t>
    <phoneticPr fontId="15" type="noConversion"/>
  </si>
  <si>
    <t>5. 아로마-인사이트카드 강사료</t>
    <phoneticPr fontId="15" type="noConversion"/>
  </si>
  <si>
    <t>0 특강강사비</t>
    <phoneticPr fontId="15" type="noConversion"/>
  </si>
  <si>
    <t>1. 수업용 아로마카드 구입비</t>
    <phoneticPr fontId="15" type="noConversion"/>
  </si>
  <si>
    <t>2. 훈련생 보급용</t>
    <phoneticPr fontId="15" type="noConversion"/>
  </si>
  <si>
    <t>3. 아로마 에센셜 오일 구입비</t>
    <phoneticPr fontId="15" type="noConversion"/>
  </si>
  <si>
    <t>0 소모품 구입비</t>
    <phoneticPr fontId="15" type="noConversion"/>
  </si>
  <si>
    <t>3. 교통비</t>
    <phoneticPr fontId="15" type="noConversion"/>
  </si>
  <si>
    <t>4. 기타잡비</t>
    <phoneticPr fontId="15" type="noConversion"/>
  </si>
  <si>
    <t>1. 훈련평가회비(식비)</t>
    <phoneticPr fontId="15" type="noConversion"/>
  </si>
  <si>
    <t>0 헬스키퍼 고용업체 간담회비</t>
    <phoneticPr fontId="15" type="noConversion"/>
  </si>
  <si>
    <t>2. 사무용품구입비</t>
    <phoneticPr fontId="15" type="noConversion"/>
  </si>
  <si>
    <t>6. 훈련생 임가공수당</t>
    <phoneticPr fontId="15" type="noConversion"/>
  </si>
  <si>
    <t>임가공수입</t>
    <phoneticPr fontId="15" type="noConversion"/>
  </si>
  <si>
    <t>1. kbumac.or.kr</t>
    <phoneticPr fontId="15" type="noConversion"/>
  </si>
  <si>
    <t>2. dvs.or.kr</t>
    <phoneticPr fontId="15" type="noConversion"/>
  </si>
  <si>
    <t xml:space="preserve">0 도메인 사용료 </t>
    <phoneticPr fontId="15" type="noConversion"/>
  </si>
  <si>
    <t xml:space="preserve"> (0 음악정서지원사업수입</t>
    <phoneticPr fontId="15" type="noConversion"/>
  </si>
  <si>
    <t>2) 브로셔 제작비</t>
    <phoneticPr fontId="15" type="noConversion"/>
  </si>
  <si>
    <t>시간</t>
    <phoneticPr fontId="15" type="noConversion"/>
  </si>
  <si>
    <t>5) 반주자 사례비</t>
    <phoneticPr fontId="15" type="noConversion"/>
  </si>
  <si>
    <t>6) 음악회 평가회의비</t>
    <phoneticPr fontId="15" type="noConversion"/>
  </si>
  <si>
    <t>3. 음악회 진행비</t>
    <phoneticPr fontId="15" type="noConversion"/>
  </si>
  <si>
    <t>4)플루트</t>
    <phoneticPr fontId="15" type="noConversion"/>
  </si>
  <si>
    <t>5)피아노교실</t>
    <phoneticPr fontId="15" type="noConversion"/>
  </si>
  <si>
    <t>건</t>
    <phoneticPr fontId="15" type="noConversion"/>
  </si>
  <si>
    <t>4. 강사비</t>
    <phoneticPr fontId="15" type="noConversion"/>
  </si>
  <si>
    <t>5. 운영비</t>
    <phoneticPr fontId="15" type="noConversion"/>
  </si>
  <si>
    <t>1) 차류</t>
    <phoneticPr fontId="15" type="noConversion"/>
  </si>
  <si>
    <t>1. 초졸</t>
    <phoneticPr fontId="15" type="noConversion"/>
  </si>
  <si>
    <t>2. 중졸</t>
    <phoneticPr fontId="15" type="noConversion"/>
  </si>
  <si>
    <t>3. 고졸</t>
    <phoneticPr fontId="15" type="noConversion"/>
  </si>
  <si>
    <t>1. 초졸 수험생 식비</t>
    <phoneticPr fontId="15" type="noConversion"/>
  </si>
  <si>
    <t>2. 중졸 수험생 식비</t>
    <phoneticPr fontId="15" type="noConversion"/>
  </si>
  <si>
    <t>3. 고졸 수험생 식비</t>
    <phoneticPr fontId="15" type="noConversion"/>
  </si>
  <si>
    <t>4. 수험생 간식비</t>
    <phoneticPr fontId="15" type="noConversion"/>
  </si>
  <si>
    <t>70,000*2시간*1명*8회*3기</t>
    <phoneticPr fontId="15" type="noConversion"/>
  </si>
  <si>
    <t>(10,000*4명*8회*3기)</t>
    <phoneticPr fontId="15" type="noConversion"/>
  </si>
  <si>
    <t>1. 어울림대회 상품 구입비</t>
    <phoneticPr fontId="15" type="noConversion"/>
  </si>
  <si>
    <t>*</t>
    <phoneticPr fontId="15" type="noConversion"/>
  </si>
  <si>
    <t>시간</t>
    <phoneticPr fontId="15" type="noConversion"/>
  </si>
  <si>
    <t>*</t>
    <phoneticPr fontId="15" type="noConversion"/>
  </si>
  <si>
    <t>일</t>
    <phoneticPr fontId="15" type="noConversion"/>
  </si>
  <si>
    <t>3) 선배기수 교통비</t>
    <phoneticPr fontId="15" type="noConversion"/>
  </si>
  <si>
    <t>2) 주방도구 사용훈련</t>
    <phoneticPr fontId="15" type="noConversion"/>
  </si>
  <si>
    <t>3) 레토르트 식품구입비</t>
    <phoneticPr fontId="15" type="noConversion"/>
  </si>
  <si>
    <t>4) 음식만들기</t>
    <phoneticPr fontId="15" type="noConversion"/>
  </si>
  <si>
    <t>3. 버스교통비(마을버스-현금결제)</t>
    <phoneticPr fontId="15" type="noConversion"/>
  </si>
  <si>
    <t>회</t>
    <phoneticPr fontId="15" type="noConversion"/>
  </si>
  <si>
    <t>1. 앨범제작비</t>
    <phoneticPr fontId="15" type="noConversion"/>
  </si>
  <si>
    <t>3. 다과구입비</t>
    <phoneticPr fontId="15" type="noConversion"/>
  </si>
  <si>
    <t>10</t>
    <phoneticPr fontId="15" type="noConversion"/>
  </si>
  <si>
    <t>자부담</t>
    <phoneticPr fontId="15" type="noConversion"/>
  </si>
  <si>
    <t>1. 헤드셋</t>
    <phoneticPr fontId="15" type="noConversion"/>
  </si>
  <si>
    <t>2. 키보드</t>
    <phoneticPr fontId="15" type="noConversion"/>
  </si>
  <si>
    <t>3. 소모품 및 유지비</t>
    <phoneticPr fontId="15" type="noConversion"/>
  </si>
  <si>
    <t xml:space="preserve"> 3) 임시고용원비</t>
    <phoneticPr fontId="15" type="noConversion"/>
  </si>
  <si>
    <t>활동보조    
지원사업비</t>
    <phoneticPr fontId="15" type="noConversion"/>
  </si>
  <si>
    <t>점역교정사 
시험대비반
사업</t>
    <phoneticPr fontId="15" type="noConversion"/>
  </si>
  <si>
    <t>문화예술교육지원사업</t>
    <phoneticPr fontId="15" type="noConversion"/>
  </si>
  <si>
    <t>메르세데스 벤츠 올투게더 사업</t>
    <phoneticPr fontId="15" type="noConversion"/>
  </si>
  <si>
    <t>안마직무기술향상사업비</t>
    <phoneticPr fontId="15" type="noConversion"/>
  </si>
  <si>
    <t>훈련재료 및 기자재 구입 사업비</t>
    <phoneticPr fontId="15" type="noConversion"/>
  </si>
  <si>
    <t>장애인시민공동체활동지원사업</t>
    <phoneticPr fontId="15" type="noConversion"/>
  </si>
  <si>
    <t>장애인복지박람회운영사업</t>
    <phoneticPr fontId="15" type="noConversion"/>
  </si>
  <si>
    <t>GKL
시각장애인
가정문화체험</t>
    <phoneticPr fontId="15" type="noConversion"/>
  </si>
  <si>
    <t>월동지원사업비</t>
    <phoneticPr fontId="15" type="noConversion"/>
  </si>
  <si>
    <t xml:space="preserve"> 0 사무용품구입비</t>
    <phoneticPr fontId="15" type="noConversion"/>
  </si>
  <si>
    <t xml:space="preserve"> 0 소모품구입비</t>
    <phoneticPr fontId="15" type="noConversion"/>
  </si>
  <si>
    <t xml:space="preserve"> 0 왁스청소비</t>
    <phoneticPr fontId="15" type="noConversion"/>
  </si>
  <si>
    <t>0 비품구입비</t>
    <phoneticPr fontId="15" type="noConversion"/>
  </si>
  <si>
    <t>0 교육비</t>
    <phoneticPr fontId="15" type="noConversion"/>
  </si>
  <si>
    <t>포</t>
    <phoneticPr fontId="15" type="noConversion"/>
  </si>
  <si>
    <t>1) 부품구입비</t>
    <phoneticPr fontId="15" type="noConversion"/>
  </si>
  <si>
    <t>2) 수리비</t>
    <phoneticPr fontId="15" type="noConversion"/>
  </si>
  <si>
    <t>1) 종이컵</t>
    <phoneticPr fontId="15" type="noConversion"/>
  </si>
  <si>
    <t>2) 핫초코</t>
    <phoneticPr fontId="15" type="noConversion"/>
  </si>
  <si>
    <t>3) 설탕</t>
    <phoneticPr fontId="15" type="noConversion"/>
  </si>
  <si>
    <t>4) 밀크</t>
    <phoneticPr fontId="15" type="noConversion"/>
  </si>
  <si>
    <t>5) 원두 500g</t>
    <phoneticPr fontId="15" type="noConversion"/>
  </si>
  <si>
    <t>0 손보세인쇄비</t>
    <phoneticPr fontId="15" type="noConversion"/>
  </si>
  <si>
    <t>0 손보세 우편요금</t>
    <phoneticPr fontId="15" type="noConversion"/>
  </si>
  <si>
    <t>18자부담(D)</t>
    <phoneticPr fontId="15" type="noConversion"/>
  </si>
  <si>
    <t>19보조금(C)</t>
    <phoneticPr fontId="15" type="noConversion"/>
  </si>
  <si>
    <t>19자부담(D)</t>
    <phoneticPr fontId="15" type="noConversion"/>
  </si>
  <si>
    <t>2. 한소네 U2 멤브레인 스위치</t>
    <phoneticPr fontId="15" type="noConversion"/>
  </si>
  <si>
    <t>1. 한소네 U2 멤브레인 점자키패드</t>
    <phoneticPr fontId="15" type="noConversion"/>
  </si>
  <si>
    <t>3</t>
    <phoneticPr fontId="15" type="noConversion"/>
  </si>
  <si>
    <t>3. 한소네 LX 멤브레인 스위치</t>
    <phoneticPr fontId="15" type="noConversion"/>
  </si>
  <si>
    <t>4. 한소네 LX 스크롤키</t>
    <phoneticPr fontId="15" type="noConversion"/>
  </si>
  <si>
    <t>4</t>
    <phoneticPr fontId="15" type="noConversion"/>
  </si>
  <si>
    <t>4. 책마루 XT 배터리</t>
    <phoneticPr fontId="15" type="noConversion"/>
  </si>
  <si>
    <t xml:space="preserve"> 0 기능보강(원스톱)</t>
    <phoneticPr fontId="15" type="noConversion"/>
  </si>
  <si>
    <t>0 지역주민과 함께하는 음악회</t>
    <phoneticPr fontId="15" type="noConversion"/>
  </si>
  <si>
    <t>/</t>
    <phoneticPr fontId="15" type="noConversion"/>
  </si>
  <si>
    <t>%</t>
    <phoneticPr fontId="15" type="noConversion"/>
  </si>
  <si>
    <t>회</t>
    <phoneticPr fontId="15" type="noConversion"/>
  </si>
  <si>
    <t>학습지원사업</t>
    <phoneticPr fontId="15" type="noConversion"/>
  </si>
  <si>
    <t>시각장애인    동호회활동    지원사업</t>
    <phoneticPr fontId="15" type="noConversion"/>
  </si>
  <si>
    <t>3.47%</t>
    <phoneticPr fontId="15" type="noConversion"/>
  </si>
  <si>
    <t>0.64%</t>
    <phoneticPr fontId="15" type="noConversion"/>
  </si>
  <si>
    <t>0.64%</t>
    <phoneticPr fontId="15" type="noConversion"/>
  </si>
  <si>
    <t>*</t>
    <phoneticPr fontId="15" type="noConversion"/>
  </si>
  <si>
    <t>1. 합창단 반주자 강사비</t>
    <phoneticPr fontId="15" type="noConversion"/>
  </si>
  <si>
    <t>2. 하모니카교실 강사비</t>
    <phoneticPr fontId="15" type="noConversion"/>
  </si>
  <si>
    <t>3. 색소폰교실 강사비</t>
    <phoneticPr fontId="15" type="noConversion"/>
  </si>
  <si>
    <t>시간</t>
    <phoneticPr fontId="15" type="noConversion"/>
  </si>
  <si>
    <t>1. 유류비</t>
    <phoneticPr fontId="15" type="noConversion"/>
  </si>
  <si>
    <t>2. 홍보비</t>
    <phoneticPr fontId="15" type="noConversion"/>
  </si>
  <si>
    <t>1) 차량용 자석스티커</t>
    <phoneticPr fontId="15" type="noConversion"/>
  </si>
  <si>
    <t>3. 교육자료 제작비</t>
    <phoneticPr fontId="15" type="noConversion"/>
  </si>
  <si>
    <t>1) 교재 팜플릿 제작</t>
    <phoneticPr fontId="15" type="noConversion"/>
  </si>
  <si>
    <t>1) 종이홀더 상장케이스</t>
    <phoneticPr fontId="15" type="noConversion"/>
  </si>
  <si>
    <t>2) 기타 사무용품</t>
    <phoneticPr fontId="15" type="noConversion"/>
  </si>
  <si>
    <t>3</t>
    <phoneticPr fontId="15" type="noConversion"/>
  </si>
  <si>
    <t>1500</t>
    <phoneticPr fontId="15" type="noConversion"/>
  </si>
  <si>
    <t>100</t>
    <phoneticPr fontId="15" type="noConversion"/>
  </si>
  <si>
    <t>12</t>
    <phoneticPr fontId="15" type="noConversion"/>
  </si>
  <si>
    <t>5) 장보기</t>
    <phoneticPr fontId="15" type="noConversion"/>
  </si>
  <si>
    <t>0 교재 구입비</t>
    <phoneticPr fontId="15" type="noConversion"/>
  </si>
  <si>
    <t>권</t>
    <phoneticPr fontId="15" type="noConversion"/>
  </si>
  <si>
    <t>국악교실</t>
    <phoneticPr fontId="15" type="noConversion"/>
  </si>
  <si>
    <t>복지기관
문화예술
지원사업
(국악교실)</t>
    <phoneticPr fontId="15" type="noConversion"/>
  </si>
  <si>
    <t>복지기관
문화예술
지원사업
(아동무용교실)</t>
    <phoneticPr fontId="15" type="noConversion"/>
  </si>
  <si>
    <t>0 복지기관문화예술지원사업(국악교실)</t>
    <phoneticPr fontId="15" type="noConversion"/>
  </si>
  <si>
    <t>0 복지기관문화예술지원사업(아동무용교실)</t>
    <phoneticPr fontId="15" type="noConversion"/>
  </si>
  <si>
    <t>아동무용교실</t>
    <phoneticPr fontId="15" type="noConversion"/>
  </si>
  <si>
    <t>희망나눔
지원사업</t>
    <phoneticPr fontId="15" type="noConversion"/>
  </si>
  <si>
    <t>열린점자교육(노원/북부)</t>
    <phoneticPr fontId="15" type="noConversion"/>
  </si>
  <si>
    <t>노원평생학습관 1,400,000/ 북부지원교육청 2,250,000원 지원 신청 예정</t>
    <phoneticPr fontId="15" type="noConversion"/>
  </si>
  <si>
    <t xml:space="preserve">9. 인건비(훈련생 취업관리, 시각장애인 신규 직종개발 담당) </t>
    <phoneticPr fontId="15" type="noConversion"/>
  </si>
  <si>
    <t>미정</t>
    <phoneticPr fontId="15" type="noConversion"/>
  </si>
  <si>
    <t xml:space="preserve">장려금 </t>
    <phoneticPr fontId="15" type="noConversion"/>
  </si>
  <si>
    <t>강현애</t>
    <phoneticPr fontId="15" type="noConversion"/>
  </si>
  <si>
    <t>0 메르세데스 벤츠 올투게더 사업</t>
    <phoneticPr fontId="15" type="noConversion"/>
  </si>
  <si>
    <t>학습지원사업</t>
    <phoneticPr fontId="15" type="noConversion"/>
  </si>
  <si>
    <t>국악교실</t>
    <phoneticPr fontId="15" type="noConversion"/>
  </si>
  <si>
    <t>아동무용교실</t>
    <phoneticPr fontId="15" type="noConversion"/>
  </si>
  <si>
    <t>메르세데스 벤츠 올투게더</t>
    <phoneticPr fontId="15" type="noConversion"/>
  </si>
  <si>
    <t>재가시각장애인주거환경개선사업</t>
    <phoneticPr fontId="15" type="noConversion"/>
  </si>
  <si>
    <t>안마직무기술향상프로그램</t>
  </si>
  <si>
    <t>안마직무기술향상프로그램</t>
    <phoneticPr fontId="15" type="noConversion"/>
  </si>
  <si>
    <t>GKL사회공헌재단과함께하는 시각장애아동놀이체육교실</t>
  </si>
  <si>
    <t>직재센터 자부담</t>
  </si>
  <si>
    <t>돌봄가족휴가</t>
  </si>
  <si>
    <t>점자문해해득</t>
  </si>
  <si>
    <t>평생학습(점역교정사)</t>
  </si>
  <si>
    <t>인정직업</t>
  </si>
  <si>
    <t>GKL가정문화체험</t>
  </si>
  <si>
    <t>정보화교육장</t>
  </si>
  <si>
    <t>남산산책로걷기(복지기금)</t>
  </si>
  <si>
    <t>희망나눔지원사업</t>
  </si>
  <si>
    <t>sk네트웍스 업사이클링</t>
  </si>
  <si>
    <t>보조공학기기</t>
  </si>
  <si>
    <t>대체자료제작사업</t>
  </si>
  <si>
    <t>월동지원사업</t>
  </si>
  <si>
    <t>기능보강</t>
  </si>
  <si>
    <t>홈헬퍼</t>
  </si>
  <si>
    <t>물리치료</t>
  </si>
  <si>
    <t>직재센터 보조금</t>
  </si>
  <si>
    <t>식당</t>
  </si>
  <si>
    <t>후원</t>
  </si>
  <si>
    <t>자판기</t>
  </si>
  <si>
    <t>6)해금</t>
    <phoneticPr fontId="15" type="noConversion"/>
  </si>
  <si>
    <t xml:space="preserve"> (0 해금 사업수입</t>
    <phoneticPr fontId="15" type="noConversion"/>
  </si>
  <si>
    <t>1) 평가회비(장려금)</t>
    <phoneticPr fontId="15" type="noConversion"/>
  </si>
  <si>
    <t>12</t>
    <phoneticPr fontId="15" type="noConversion"/>
  </si>
  <si>
    <t>0 운영비</t>
    <phoneticPr fontId="15" type="noConversion"/>
  </si>
  <si>
    <t>아르바이트비</t>
    <phoneticPr fontId="15" type="noConversion"/>
  </si>
  <si>
    <t>2019년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</si>
  <si>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</si>
  <si>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</si>
  <si>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</si>
  <si>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
예산(A)</t>
    <phoneticPr fontId="15" type="noConversion"/>
  </si>
  <si>
    <t>2019
예산(B)</t>
    <phoneticPr fontId="15" type="noConversion"/>
  </si>
  <si>
    <t>증감(B-A)</t>
    <phoneticPr fontId="15" type="noConversion"/>
  </si>
  <si>
    <t>금액</t>
    <phoneticPr fontId="15" type="noConversion"/>
  </si>
  <si>
    <t>비율(%)</t>
    <phoneticPr fontId="15" type="noConversion"/>
  </si>
  <si>
    <t>계</t>
    <phoneticPr fontId="15" type="noConversion"/>
  </si>
  <si>
    <t xml:space="preserve"> </t>
    <phoneticPr fontId="15" type="noConversion"/>
  </si>
  <si>
    <t>보조금
수입</t>
    <phoneticPr fontId="15" type="noConversion"/>
  </si>
  <si>
    <t>지방비보조금수입</t>
    <phoneticPr fontId="15" type="noConversion"/>
  </si>
  <si>
    <t>기능보강보조금</t>
    <phoneticPr fontId="15" type="noConversion"/>
  </si>
  <si>
    <t>기타보조금</t>
    <phoneticPr fontId="15" type="noConversion"/>
  </si>
  <si>
    <t>후원금수입</t>
    <phoneticPr fontId="15" type="noConversion"/>
  </si>
  <si>
    <t>전입금</t>
    <phoneticPr fontId="15" type="noConversion"/>
  </si>
  <si>
    <t>사업
수입</t>
    <phoneticPr fontId="15" type="noConversion"/>
  </si>
  <si>
    <t>잡수입</t>
    <phoneticPr fontId="15" type="noConversion"/>
  </si>
  <si>
    <t>전년도</t>
    <phoneticPr fontId="15" type="noConversion"/>
  </si>
  <si>
    <t>이월금</t>
    <phoneticPr fontId="15" type="noConversion"/>
  </si>
  <si>
    <t>사무비</t>
    <phoneticPr fontId="15" type="noConversion"/>
  </si>
  <si>
    <t>인건비</t>
    <phoneticPr fontId="15" type="noConversion"/>
  </si>
  <si>
    <t>급여</t>
    <phoneticPr fontId="15" type="noConversion"/>
  </si>
  <si>
    <t>제수당</t>
    <phoneticPr fontId="15" type="noConversion"/>
  </si>
  <si>
    <t>퇴직
적립금</t>
    <phoneticPr fontId="15" type="noConversion"/>
  </si>
  <si>
    <t>사회보험
부담비용</t>
    <phoneticPr fontId="15" type="noConversion"/>
  </si>
  <si>
    <t>기타
후생경비</t>
    <phoneticPr fontId="15" type="noConversion"/>
  </si>
  <si>
    <t>업무
추진비</t>
    <phoneticPr fontId="15" type="noConversion"/>
  </si>
  <si>
    <t>회의비</t>
    <phoneticPr fontId="15" type="noConversion"/>
  </si>
  <si>
    <t>운영비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</si>
  <si>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</si>
  <si>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</si>
  <si>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</si>
  <si>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
예산(A)</t>
    <phoneticPr fontId="15" type="noConversion"/>
  </si>
  <si>
    <t>2019
예산(B)</t>
    <phoneticPr fontId="15" type="noConversion"/>
  </si>
  <si>
    <t>증감(B-A)</t>
    <phoneticPr fontId="15" type="noConversion"/>
  </si>
  <si>
    <t>금액</t>
    <phoneticPr fontId="15" type="noConversion"/>
  </si>
  <si>
    <t>비율(%)</t>
    <phoneticPr fontId="15" type="noConversion"/>
  </si>
  <si>
    <t>여비</t>
    <phoneticPr fontId="15" type="noConversion"/>
  </si>
  <si>
    <t>수용비 및 
수수료</t>
    <phoneticPr fontId="15" type="noConversion"/>
  </si>
  <si>
    <t>공공요금</t>
    <phoneticPr fontId="15" type="noConversion"/>
  </si>
  <si>
    <t>제세공과금</t>
    <phoneticPr fontId="15" type="noConversion"/>
  </si>
  <si>
    <t>차량비</t>
    <phoneticPr fontId="15" type="noConversion"/>
  </si>
  <si>
    <t>연료비</t>
    <phoneticPr fontId="15" type="noConversion"/>
  </si>
  <si>
    <t>기타운영비</t>
    <phoneticPr fontId="15" type="noConversion"/>
  </si>
  <si>
    <t>재산조성비</t>
    <phoneticPr fontId="15" type="noConversion"/>
  </si>
  <si>
    <t>시설비</t>
    <phoneticPr fontId="15" type="noConversion"/>
  </si>
  <si>
    <t>시설비</t>
    <phoneticPr fontId="15" type="noConversion"/>
  </si>
  <si>
    <t>자산취득비</t>
    <phoneticPr fontId="15" type="noConversion"/>
  </si>
  <si>
    <t>시설장비
유지보수비</t>
    <phoneticPr fontId="15" type="noConversion"/>
  </si>
  <si>
    <t>사업비</t>
    <phoneticPr fontId="15" type="noConversion"/>
  </si>
  <si>
    <t>사업비</t>
    <phoneticPr fontId="15" type="noConversion"/>
  </si>
  <si>
    <t>교육재활
사업비</t>
    <phoneticPr fontId="15" type="noConversion"/>
  </si>
  <si>
    <t>사회심리
재활사업비</t>
    <phoneticPr fontId="15" type="noConversion"/>
  </si>
  <si>
    <t>관</t>
    <phoneticPr fontId="15" type="noConversion"/>
  </si>
  <si>
    <t>목</t>
    <phoneticPr fontId="15" type="noConversion"/>
  </si>
  <si>
    <t>금액</t>
    <phoneticPr fontId="15" type="noConversion"/>
  </si>
  <si>
    <t>직업재활
사업비</t>
    <phoneticPr fontId="15" type="noConversion"/>
  </si>
  <si>
    <t>사회교육
사업비</t>
    <phoneticPr fontId="15" type="noConversion"/>
  </si>
  <si>
    <t>스포츠 및
여가활동
사업비</t>
    <phoneticPr fontId="15" type="noConversion"/>
  </si>
  <si>
    <t>지역사회
복지사업비</t>
    <phoneticPr fontId="15" type="noConversion"/>
  </si>
  <si>
    <t>재가복지
서비스운영
사업비</t>
    <phoneticPr fontId="15" type="noConversion"/>
  </si>
  <si>
    <t>활동보조
서비스
사업비</t>
    <phoneticPr fontId="15" type="noConversion"/>
  </si>
  <si>
    <t>조사연구
사업비</t>
    <phoneticPr fontId="15" type="noConversion"/>
  </si>
  <si>
    <t>과년도
지출</t>
    <phoneticPr fontId="15" type="noConversion"/>
  </si>
  <si>
    <t>예비비</t>
    <phoneticPr fontId="15" type="noConversion"/>
  </si>
  <si>
    <t>예비비</t>
    <phoneticPr fontId="15" type="noConversion"/>
  </si>
  <si>
    <t>2019년도 서울특별시립노원시각장애인복지관 세입, 세출예산서</t>
    <phoneticPr fontId="15" type="noConversion"/>
  </si>
  <si>
    <t>38명</t>
    <phoneticPr fontId="15" type="noConversion"/>
  </si>
  <si>
    <t>(8,400원*1명*15시간*12월</t>
    <phoneticPr fontId="15" type="noConversion"/>
  </si>
  <si>
    <t>44</t>
    <phoneticPr fontId="15" type="noConversion"/>
  </si>
  <si>
    <t>21</t>
    <phoneticPr fontId="15" type="noConversion"/>
  </si>
  <si>
    <t>22</t>
    <phoneticPr fontId="15" type="noConversion"/>
  </si>
  <si>
    <t>172</t>
    <phoneticPr fontId="15" type="noConversion"/>
  </si>
  <si>
    <t>42</t>
    <phoneticPr fontId="15" type="noConversion"/>
  </si>
  <si>
    <t>7</t>
    <phoneticPr fontId="15" type="noConversion"/>
  </si>
  <si>
    <t>월</t>
    <phoneticPr fontId="15" type="noConversion"/>
  </si>
  <si>
    <t>2) 현수막 제작비</t>
    <phoneticPr fontId="15" type="noConversion"/>
  </si>
  <si>
    <t>12</t>
    <phoneticPr fontId="15" type="noConversion"/>
  </si>
  <si>
    <t>월</t>
    <phoneticPr fontId="15" type="noConversion"/>
  </si>
  <si>
    <t>장</t>
    <phoneticPr fontId="15" type="noConversion"/>
  </si>
  <si>
    <t>25</t>
    <phoneticPr fontId="15" type="noConversion"/>
  </si>
  <si>
    <t>8.5파일</t>
    <phoneticPr fontId="15" type="noConversion"/>
  </si>
  <si>
    <t>월</t>
    <phoneticPr fontId="15" type="noConversion"/>
  </si>
  <si>
    <t>1.55%</t>
  </si>
  <si>
    <t>3. 현수막</t>
    <phoneticPr fontId="15" type="noConversion"/>
  </si>
  <si>
    <t>복지관 자부담</t>
  </si>
  <si>
    <t>복지관 보조금</t>
  </si>
  <si>
    <t>보행훈련사업</t>
  </si>
  <si>
    <t>문화예술지원사업</t>
  </si>
  <si>
    <t>시민공동체지원사업</t>
  </si>
  <si>
    <t>평생학습지원사업</t>
  </si>
  <si>
    <t>메르세데스벤츠 사업</t>
  </si>
  <si>
    <t>멘토링</t>
  </si>
  <si>
    <t>복지관 카드</t>
  </si>
  <si>
    <t>김장나눔 행사</t>
  </si>
  <si>
    <t>후원</t>
    <phoneticPr fontId="15" type="noConversion"/>
  </si>
  <si>
    <t>복지포인트</t>
    <phoneticPr fontId="15" type="noConversion"/>
  </si>
  <si>
    <t>화면해설·AD센터(웹)</t>
  </si>
  <si>
    <t>화면해설·AD센터(웹)</t>
    <phoneticPr fontId="15" type="noConversion"/>
  </si>
  <si>
    <t>1. 양성교육 강사료</t>
    <phoneticPr fontId="15" type="noConversion"/>
  </si>
  <si>
    <t>1. 레인임대료</t>
    <phoneticPr fontId="15" type="noConversion"/>
  </si>
  <si>
    <t>3. 간담회비</t>
    <phoneticPr fontId="15" type="noConversion"/>
  </si>
  <si>
    <t>2. 대인관계형성 및 유지활동비</t>
    <phoneticPr fontId="15" type="noConversion"/>
  </si>
  <si>
    <t>안마지압실운영사업</t>
    <phoneticPr fontId="15" type="noConversion"/>
  </si>
  <si>
    <t>2. 홍보물 제작비</t>
    <phoneticPr fontId="15" type="noConversion"/>
  </si>
  <si>
    <t>5) 소모품구입비(물리치료)</t>
    <phoneticPr fontId="15" type="noConversion"/>
  </si>
  <si>
    <t>2) 홍보물 우편발송비</t>
    <phoneticPr fontId="15" type="noConversion"/>
  </si>
  <si>
    <t>8</t>
    <phoneticPr fontId="15" type="noConversion"/>
  </si>
  <si>
    <t>4. 소모품구입비</t>
    <phoneticPr fontId="15" type="noConversion"/>
  </si>
  <si>
    <t>2018
예산(A)</t>
    <phoneticPr fontId="15" type="noConversion"/>
  </si>
  <si>
    <t xml:space="preserve"> </t>
    <phoneticPr fontId="15" type="noConversion"/>
  </si>
  <si>
    <t>3</t>
    <phoneticPr fontId="15" type="noConversion"/>
  </si>
  <si>
    <t>9</t>
    <phoneticPr fontId="15" type="noConversion"/>
  </si>
  <si>
    <t xml:space="preserve"> 0 태양광</t>
    <phoneticPr fontId="15" type="noConversion"/>
  </si>
  <si>
    <t>=</t>
    <phoneticPr fontId="15" type="noConversion"/>
  </si>
  <si>
    <t>0 수수료</t>
    <phoneticPr fontId="15" type="noConversion"/>
  </si>
  <si>
    <t>1. 카드수수료</t>
    <phoneticPr fontId="15" type="noConversion"/>
  </si>
  <si>
    <t>2. 카드 단말기 수수료</t>
    <phoneticPr fontId="15" type="noConversion"/>
  </si>
  <si>
    <t>40</t>
    <phoneticPr fontId="15" type="noConversion"/>
  </si>
  <si>
    <t>80</t>
    <phoneticPr fontId="15" type="noConversion"/>
  </si>
  <si>
    <t>(15,601원*8명*15시간*12월</t>
    <phoneticPr fontId="15" type="noConversion"/>
  </si>
  <si>
    <t>18보조금(C)</t>
    <phoneticPr fontId="15" type="noConversion"/>
  </si>
  <si>
    <t>18보조금(C)</t>
    <phoneticPr fontId="15" type="noConversion"/>
  </si>
  <si>
    <t xml:space="preserve"> 0 3급 25호봉</t>
    <phoneticPr fontId="15" type="noConversion"/>
  </si>
  <si>
    <t xml:space="preserve"> 0 1급 20호봉</t>
    <phoneticPr fontId="15" type="noConversion"/>
  </si>
  <si>
    <t xml:space="preserve"> 0 2급 13호봉</t>
    <phoneticPr fontId="15" type="noConversion"/>
  </si>
  <si>
    <t xml:space="preserve"> 0 3급 18호봉</t>
    <phoneticPr fontId="15" type="noConversion"/>
  </si>
  <si>
    <t xml:space="preserve"> 0 3급 23호봉</t>
    <phoneticPr fontId="15" type="noConversion"/>
  </si>
  <si>
    <t xml:space="preserve"> 0 3급 20호봉</t>
    <phoneticPr fontId="15" type="noConversion"/>
  </si>
  <si>
    <t xml:space="preserve"> 0 4급 27호봉</t>
    <phoneticPr fontId="15" type="noConversion"/>
  </si>
  <si>
    <t xml:space="preserve"> 0 4급 21호봉</t>
    <phoneticPr fontId="15" type="noConversion"/>
  </si>
  <si>
    <t xml:space="preserve"> 0 4급 18호봉</t>
    <phoneticPr fontId="15" type="noConversion"/>
  </si>
  <si>
    <t xml:space="preserve"> 0 4급 14호봉</t>
    <phoneticPr fontId="15" type="noConversion"/>
  </si>
  <si>
    <t xml:space="preserve"> 0 4급 11호봉</t>
    <phoneticPr fontId="15" type="noConversion"/>
  </si>
  <si>
    <t xml:space="preserve"> 0 4급 16호봉</t>
    <phoneticPr fontId="15" type="noConversion"/>
  </si>
  <si>
    <t xml:space="preserve"> 0 5급 1호봉</t>
    <phoneticPr fontId="15" type="noConversion"/>
  </si>
  <si>
    <t xml:space="preserve"> 0 5급 19호봉</t>
    <phoneticPr fontId="15" type="noConversion"/>
  </si>
  <si>
    <t xml:space="preserve"> 0 5급 15호봉</t>
    <phoneticPr fontId="15" type="noConversion"/>
  </si>
  <si>
    <t xml:space="preserve"> 0 5급 12호봉</t>
    <phoneticPr fontId="15" type="noConversion"/>
  </si>
  <si>
    <t xml:space="preserve"> 0 5급 11호봉</t>
    <phoneticPr fontId="15" type="noConversion"/>
  </si>
  <si>
    <t xml:space="preserve"> 0 5급 8호봉</t>
    <phoneticPr fontId="15" type="noConversion"/>
  </si>
  <si>
    <t xml:space="preserve"> 0 5급 7호봉</t>
    <phoneticPr fontId="15" type="noConversion"/>
  </si>
  <si>
    <t xml:space="preserve"> 0 5급 6호봉</t>
    <phoneticPr fontId="15" type="noConversion"/>
  </si>
  <si>
    <t xml:space="preserve"> 0 5급 5호봉</t>
    <phoneticPr fontId="15" type="noConversion"/>
  </si>
  <si>
    <t xml:space="preserve"> 0 5급 4호봉</t>
    <phoneticPr fontId="15" type="noConversion"/>
  </si>
  <si>
    <t xml:space="preserve"> 0 5급 3호봉</t>
    <phoneticPr fontId="15" type="noConversion"/>
  </si>
  <si>
    <t xml:space="preserve"> 0 5급 9호봉</t>
    <phoneticPr fontId="15" type="noConversion"/>
  </si>
  <si>
    <t xml:space="preserve"> 0 5급 2호봉</t>
    <phoneticPr fontId="15" type="noConversion"/>
  </si>
  <si>
    <t xml:space="preserve"> 0 6급 23호봉</t>
    <phoneticPr fontId="15" type="noConversion"/>
  </si>
  <si>
    <t xml:space="preserve"> 0 6급 27호봉</t>
    <phoneticPr fontId="15" type="noConversion"/>
  </si>
  <si>
    <t xml:space="preserve"> 0 6급 28호봉</t>
    <phoneticPr fontId="15" type="noConversion"/>
  </si>
  <si>
    <t xml:space="preserve"> 0 6급 7호봉</t>
    <phoneticPr fontId="15" type="noConversion"/>
  </si>
  <si>
    <t xml:space="preserve"> 0 6급 8호봉</t>
    <phoneticPr fontId="15" type="noConversion"/>
  </si>
  <si>
    <t xml:space="preserve"> 0 6급 6호봉</t>
    <phoneticPr fontId="15" type="noConversion"/>
  </si>
  <si>
    <t xml:space="preserve"> 0 7급 1호봉</t>
    <phoneticPr fontId="15" type="noConversion"/>
  </si>
  <si>
    <t xml:space="preserve"> 0 자부담 인력1</t>
    <phoneticPr fontId="15" type="noConversion"/>
  </si>
  <si>
    <t xml:space="preserve"> 0 자부담 인력2</t>
    <phoneticPr fontId="15" type="noConversion"/>
  </si>
  <si>
    <t xml:space="preserve"> 0 자부담 인력3</t>
    <phoneticPr fontId="15" type="noConversion"/>
  </si>
  <si>
    <t xml:space="preserve"> 0 출산휴가자</t>
    <phoneticPr fontId="15" type="noConversion"/>
  </si>
  <si>
    <t xml:space="preserve"> 0 명절휴가비(자부담)</t>
    <phoneticPr fontId="15" type="noConversion"/>
  </si>
  <si>
    <t>출산휴가자(3명)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</si>
</sst>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#,##0_ "/>
    <numFmt numFmtId="178" formatCode="\(#,##0"/>
    <numFmt numFmtId="179" formatCode="#,#00\)"/>
    <numFmt numFmtId="180" formatCode="\(#,#00"/>
    <numFmt numFmtId="181" formatCode="#,##0\)"/>
    <numFmt numFmtId="182" formatCode="\(#,##0\)"/>
    <numFmt numFmtId="183" formatCode="0_);\(0\)"/>
    <numFmt numFmtId="184" formatCode="0_);[Red]\(0\)"/>
    <numFmt numFmtId="185" formatCode="#,##0_);[Red]\(#,##0\)"/>
    <numFmt numFmtId="186" formatCode="0.0%"/>
    <numFmt numFmtId="187" formatCode="0.00\ %"/>
    <numFmt numFmtId="188" formatCode="0\ %"/>
    <numFmt numFmtId="189" formatCode="_-* #,##0_-;\-* #,##0_-;_-* &quot;-&quot;??_-;_-@_-"/>
    <numFmt numFmtId="190" formatCode="#,#00.00%"/>
  </numFmts>
  <fonts count="5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7"/>
      <name val="돋움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7"/>
      <name val="돋움"/>
      <family val="3"/>
      <charset val="129"/>
    </font>
    <font>
      <b/>
      <sz val="8"/>
      <name val="돋움체"/>
      <family val="3"/>
      <charset val="129"/>
    </font>
    <font>
      <sz val="9"/>
      <color indexed="10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color rgb="FFFF0000"/>
      <name val="돋움체"/>
      <family val="3"/>
      <charset val="129"/>
    </font>
    <font>
      <sz val="9"/>
      <color theme="4"/>
      <name val="돋움체"/>
      <family val="3"/>
      <charset val="129"/>
    </font>
    <font>
      <b/>
      <sz val="9"/>
      <color rgb="FFFF0000"/>
      <name val="돋움체"/>
      <family val="3"/>
      <charset val="129"/>
    </font>
    <font>
      <sz val="9"/>
      <color indexed="8"/>
      <name val="돋움체"/>
      <family val="3"/>
      <charset val="129"/>
    </font>
    <font>
      <sz val="6"/>
      <name val="돋움체"/>
      <family val="3"/>
      <charset val="129"/>
    </font>
    <font>
      <sz val="10"/>
      <color rgb="FFFF000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theme="4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sz val="8"/>
      <color rgb="FFFF0000"/>
      <name val="돋움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9">
    <xf numFmtId="0" fontId="0" fillId="0" borderId="0"/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9" fillId="0" borderId="0">
      <alignment vertical="center"/>
    </xf>
    <xf numFmtId="41" fontId="13" fillId="0" borderId="0" applyFont="0" applyFill="0" applyBorder="0" applyAlignment="0" applyProtection="0"/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/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2">
    <xf numFmtId="0" fontId="0" fillId="0" borderId="0" xfId="0"/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41" fontId="14" fillId="0" borderId="1" xfId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right" vertical="center"/>
    </xf>
    <xf numFmtId="41" fontId="16" fillId="2" borderId="0" xfId="1" applyFont="1" applyFill="1" applyAlignment="1">
      <alignment vertical="center"/>
    </xf>
    <xf numFmtId="0" fontId="16" fillId="2" borderId="0" xfId="0" applyFont="1" applyFill="1" applyAlignment="1">
      <alignment vertical="center"/>
    </xf>
    <xf numFmtId="41" fontId="17" fillId="0" borderId="2" xfId="1" applyFont="1" applyFill="1" applyBorder="1" applyAlignment="1">
      <alignment vertical="center" wrapText="1"/>
    </xf>
    <xf numFmtId="41" fontId="14" fillId="2" borderId="0" xfId="1" applyFont="1" applyFill="1" applyAlignment="1">
      <alignment vertical="center"/>
    </xf>
    <xf numFmtId="0" fontId="14" fillId="2" borderId="0" xfId="0" applyFont="1" applyFill="1" applyAlignment="1">
      <alignment vertical="center"/>
    </xf>
    <xf numFmtId="41" fontId="17" fillId="0" borderId="9" xfId="1" applyFont="1" applyFill="1" applyBorder="1" applyAlignment="1">
      <alignment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6" fillId="0" borderId="10" xfId="0" applyFont="1" applyFill="1" applyBorder="1" applyAlignment="1">
      <alignment vertical="center"/>
    </xf>
    <xf numFmtId="41" fontId="16" fillId="0" borderId="1" xfId="1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1" fontId="16" fillId="0" borderId="0" xfId="1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left" vertical="center"/>
    </xf>
    <xf numFmtId="176" fontId="16" fillId="0" borderId="11" xfId="0" applyNumberFormat="1" applyFont="1" applyFill="1" applyBorder="1" applyAlignment="1">
      <alignment vertical="center"/>
    </xf>
    <xf numFmtId="177" fontId="16" fillId="3" borderId="2" xfId="1" applyNumberFormat="1" applyFont="1" applyFill="1" applyBorder="1" applyAlignment="1">
      <alignment vertical="center" wrapText="1"/>
    </xf>
    <xf numFmtId="0" fontId="16" fillId="0" borderId="0" xfId="0" quotePrefix="1" applyFont="1" applyFill="1" applyBorder="1" applyAlignment="1">
      <alignment vertical="center"/>
    </xf>
    <xf numFmtId="0" fontId="16" fillId="0" borderId="6" xfId="0" applyFont="1" applyFill="1" applyBorder="1" applyAlignment="1">
      <alignment vertical="center"/>
    </xf>
    <xf numFmtId="176" fontId="16" fillId="0" borderId="12" xfId="0" applyNumberFormat="1" applyFont="1" applyFill="1" applyBorder="1" applyAlignment="1">
      <alignment vertical="center"/>
    </xf>
    <xf numFmtId="41" fontId="16" fillId="3" borderId="9" xfId="1" applyFont="1" applyFill="1" applyBorder="1" applyAlignment="1">
      <alignment vertical="center" wrapText="1"/>
    </xf>
    <xf numFmtId="0" fontId="16" fillId="0" borderId="14" xfId="0" applyFont="1" applyFill="1" applyBorder="1" applyAlignment="1">
      <alignment horizontal="left" vertical="center"/>
    </xf>
    <xf numFmtId="0" fontId="16" fillId="0" borderId="13" xfId="0" applyFont="1" applyFill="1" applyBorder="1" applyAlignment="1">
      <alignment horizontal="left" vertical="center"/>
    </xf>
    <xf numFmtId="41" fontId="16" fillId="0" borderId="13" xfId="1" applyFont="1" applyFill="1" applyBorder="1" applyAlignment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vertical="center"/>
    </xf>
    <xf numFmtId="0" fontId="16" fillId="0" borderId="14" xfId="0" quotePrefix="1" applyFont="1" applyFill="1" applyBorder="1" applyAlignment="1">
      <alignment horizontal="left" vertical="center"/>
    </xf>
    <xf numFmtId="41" fontId="16" fillId="2" borderId="0" xfId="1" applyFont="1" applyFill="1" applyBorder="1" applyAlignment="1">
      <alignment vertical="center"/>
    </xf>
    <xf numFmtId="0" fontId="14" fillId="0" borderId="13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vertical="center"/>
    </xf>
    <xf numFmtId="178" fontId="16" fillId="0" borderId="0" xfId="4" applyNumberFormat="1" applyFont="1" applyFill="1" applyBorder="1" applyAlignment="1">
      <alignment vertical="center"/>
    </xf>
    <xf numFmtId="0" fontId="16" fillId="0" borderId="0" xfId="3" quotePrefix="1" applyFont="1" applyFill="1" applyBorder="1" applyAlignment="1">
      <alignment vertical="center"/>
    </xf>
    <xf numFmtId="179" fontId="16" fillId="0" borderId="12" xfId="3" applyNumberFormat="1" applyFont="1" applyFill="1" applyBorder="1" applyAlignment="1">
      <alignment vertical="center"/>
    </xf>
    <xf numFmtId="41" fontId="16" fillId="0" borderId="13" xfId="1" applyFont="1" applyFill="1" applyBorder="1" applyAlignment="1">
      <alignment vertical="center" wrapText="1"/>
    </xf>
    <xf numFmtId="10" fontId="16" fillId="0" borderId="12" xfId="1" applyNumberFormat="1" applyFont="1" applyFill="1" applyBorder="1" applyAlignment="1">
      <alignment horizontal="center" vertical="center"/>
    </xf>
    <xf numFmtId="41" fontId="20" fillId="0" borderId="0" xfId="1" applyFont="1" applyFill="1" applyBorder="1" applyAlignment="1">
      <alignment vertical="center"/>
    </xf>
    <xf numFmtId="9" fontId="16" fillId="0" borderId="0" xfId="0" applyNumberFormat="1" applyFont="1" applyFill="1" applyBorder="1" applyAlignment="1">
      <alignment vertical="center"/>
    </xf>
    <xf numFmtId="0" fontId="16" fillId="0" borderId="0" xfId="0" quotePrefix="1" applyNumberFormat="1" applyFont="1" applyFill="1" applyBorder="1" applyAlignment="1">
      <alignment horizontal="center" vertical="center"/>
    </xf>
    <xf numFmtId="9" fontId="16" fillId="0" borderId="0" xfId="0" quotePrefix="1" applyNumberFormat="1" applyFont="1" applyFill="1" applyBorder="1" applyAlignment="1">
      <alignment vertical="center"/>
    </xf>
    <xf numFmtId="41" fontId="16" fillId="0" borderId="8" xfId="1" applyFont="1" applyFill="1" applyBorder="1" applyAlignment="1">
      <alignment vertical="center" wrapText="1"/>
    </xf>
    <xf numFmtId="10" fontId="16" fillId="0" borderId="11" xfId="1" applyNumberFormat="1" applyFont="1" applyFill="1" applyBorder="1" applyAlignment="1">
      <alignment horizontal="center" vertical="center"/>
    </xf>
    <xf numFmtId="41" fontId="16" fillId="0" borderId="1" xfId="4" applyFont="1" applyFill="1" applyBorder="1" applyAlignment="1">
      <alignment vertical="center"/>
    </xf>
    <xf numFmtId="0" fontId="16" fillId="0" borderId="1" xfId="3" quotePrefix="1" applyFont="1" applyFill="1" applyBorder="1" applyAlignment="1">
      <alignment vertical="center"/>
    </xf>
    <xf numFmtId="9" fontId="16" fillId="0" borderId="1" xfId="3" quotePrefix="1" applyNumberFormat="1" applyFont="1" applyFill="1" applyBorder="1" applyAlignment="1">
      <alignment horizontal="left" vertical="center"/>
    </xf>
    <xf numFmtId="0" fontId="16" fillId="0" borderId="1" xfId="3" applyFont="1" applyFill="1" applyBorder="1" applyAlignment="1">
      <alignment horizontal="left" vertical="center"/>
    </xf>
    <xf numFmtId="0" fontId="16" fillId="0" borderId="1" xfId="3" applyFont="1" applyFill="1" applyBorder="1" applyAlignment="1">
      <alignment vertical="center"/>
    </xf>
    <xf numFmtId="176" fontId="16" fillId="0" borderId="11" xfId="3" applyNumberFormat="1" applyFont="1" applyFill="1" applyBorder="1" applyAlignment="1">
      <alignment vertical="center"/>
    </xf>
    <xf numFmtId="41" fontId="16" fillId="3" borderId="2" xfId="1" applyNumberFormat="1" applyFont="1" applyFill="1" applyBorder="1" applyAlignment="1">
      <alignment vertical="center"/>
    </xf>
    <xf numFmtId="9" fontId="16" fillId="0" borderId="0" xfId="0" quotePrefix="1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9" fontId="16" fillId="0" borderId="0" xfId="0" applyNumberFormat="1" applyFont="1" applyFill="1" applyBorder="1" applyAlignment="1">
      <alignment horizontal="center" vertical="center"/>
    </xf>
    <xf numFmtId="41" fontId="16" fillId="3" borderId="2" xfId="1" applyNumberFormat="1" applyFont="1" applyFill="1" applyBorder="1" applyAlignment="1">
      <alignment vertical="center" wrapText="1"/>
    </xf>
    <xf numFmtId="180" fontId="16" fillId="0" borderId="0" xfId="1" applyNumberFormat="1" applyFont="1" applyFill="1" applyBorder="1" applyAlignment="1">
      <alignment vertical="center"/>
    </xf>
    <xf numFmtId="179" fontId="16" fillId="0" borderId="12" xfId="0" applyNumberFormat="1" applyFont="1" applyFill="1" applyBorder="1" applyAlignment="1">
      <alignment vertical="center"/>
    </xf>
    <xf numFmtId="41" fontId="21" fillId="2" borderId="0" xfId="1" applyFont="1" applyFill="1" applyAlignment="1">
      <alignment vertical="center"/>
    </xf>
    <xf numFmtId="0" fontId="21" fillId="2" borderId="0" xfId="0" applyFont="1" applyFill="1" applyAlignment="1">
      <alignment vertical="center"/>
    </xf>
    <xf numFmtId="180" fontId="16" fillId="0" borderId="0" xfId="1" applyNumberFormat="1" applyFont="1" applyFill="1" applyBorder="1" applyAlignment="1">
      <alignment horizontal="right" vertical="center"/>
    </xf>
    <xf numFmtId="181" fontId="16" fillId="0" borderId="12" xfId="0" applyNumberFormat="1" applyFont="1" applyFill="1" applyBorder="1" applyAlignment="1">
      <alignment vertical="center"/>
    </xf>
    <xf numFmtId="0" fontId="16" fillId="0" borderId="14" xfId="3" applyFont="1" applyFill="1" applyBorder="1" applyAlignment="1">
      <alignment vertical="center"/>
    </xf>
    <xf numFmtId="41" fontId="16" fillId="0" borderId="0" xfId="4" applyFont="1" applyFill="1" applyBorder="1" applyAlignment="1">
      <alignment vertical="center"/>
    </xf>
    <xf numFmtId="179" fontId="16" fillId="0" borderId="12" xfId="1" applyNumberFormat="1" applyFont="1" applyFill="1" applyBorder="1" applyAlignment="1">
      <alignment vertical="center"/>
    </xf>
    <xf numFmtId="181" fontId="16" fillId="0" borderId="12" xfId="3" applyNumberFormat="1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41" fontId="22" fillId="0" borderId="0" xfId="1" applyFont="1" applyFill="1" applyBorder="1" applyAlignment="1">
      <alignment vertical="center"/>
    </xf>
    <xf numFmtId="0" fontId="16" fillId="0" borderId="0" xfId="3" quotePrefix="1" applyNumberFormat="1" applyFont="1" applyFill="1" applyBorder="1" applyAlignment="1">
      <alignment vertical="center"/>
    </xf>
    <xf numFmtId="182" fontId="16" fillId="0" borderId="12" xfId="3" applyNumberFormat="1" applyFont="1" applyFill="1" applyBorder="1" applyAlignment="1">
      <alignment vertical="center"/>
    </xf>
    <xf numFmtId="180" fontId="16" fillId="0" borderId="0" xfId="4" applyNumberFormat="1" applyFont="1" applyFill="1" applyBorder="1" applyAlignment="1">
      <alignment horizontal="right" vertical="center"/>
    </xf>
    <xf numFmtId="0" fontId="16" fillId="0" borderId="0" xfId="3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vertical="center"/>
    </xf>
    <xf numFmtId="0" fontId="16" fillId="0" borderId="0" xfId="0" quotePrefix="1" applyNumberFormat="1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176" fontId="16" fillId="0" borderId="11" xfId="0" applyNumberFormat="1" applyFont="1" applyFill="1" applyBorder="1" applyAlignment="1">
      <alignment horizontal="right" vertical="center"/>
    </xf>
    <xf numFmtId="0" fontId="16" fillId="0" borderId="6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49" fontId="20" fillId="0" borderId="0" xfId="0" quotePrefix="1" applyNumberFormat="1" applyFont="1" applyFill="1" applyBorder="1" applyAlignment="1">
      <alignment vertical="center"/>
    </xf>
    <xf numFmtId="49" fontId="16" fillId="0" borderId="0" xfId="0" quotePrefix="1" applyNumberFormat="1" applyFont="1" applyFill="1" applyBorder="1" applyAlignment="1">
      <alignment vertical="center"/>
    </xf>
    <xf numFmtId="41" fontId="16" fillId="0" borderId="12" xfId="0" applyNumberFormat="1" applyFont="1" applyFill="1" applyBorder="1" applyAlignment="1">
      <alignment vertical="center"/>
    </xf>
    <xf numFmtId="0" fontId="16" fillId="0" borderId="13" xfId="0" applyFont="1" applyFill="1" applyBorder="1" applyAlignment="1">
      <alignment vertical="center" wrapText="1"/>
    </xf>
    <xf numFmtId="178" fontId="16" fillId="0" borderId="0" xfId="4" applyNumberFormat="1" applyFont="1" applyFill="1" applyBorder="1" applyAlignment="1">
      <alignment horizontal="right" vertical="center"/>
    </xf>
    <xf numFmtId="49" fontId="20" fillId="0" borderId="0" xfId="1" applyNumberFormat="1" applyFont="1" applyFill="1" applyBorder="1" applyAlignment="1">
      <alignment vertical="center"/>
    </xf>
    <xf numFmtId="183" fontId="16" fillId="0" borderId="1" xfId="0" quotePrefix="1" applyNumberFormat="1" applyFont="1" applyFill="1" applyBorder="1" applyAlignment="1">
      <alignment vertical="center"/>
    </xf>
    <xf numFmtId="41" fontId="16" fillId="0" borderId="11" xfId="0" applyNumberFormat="1" applyFont="1" applyFill="1" applyBorder="1" applyAlignment="1">
      <alignment vertical="center"/>
    </xf>
    <xf numFmtId="41" fontId="16" fillId="0" borderId="0" xfId="1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5" xfId="0" applyFont="1" applyFill="1" applyBorder="1" applyAlignment="1">
      <alignment horizontal="center" vertical="center"/>
    </xf>
    <xf numFmtId="0" fontId="20" fillId="0" borderId="0" xfId="4" applyNumberFormat="1" applyFont="1" applyFill="1" applyBorder="1" applyAlignment="1">
      <alignment vertical="center"/>
    </xf>
    <xf numFmtId="0" fontId="16" fillId="0" borderId="0" xfId="4" applyNumberFormat="1" applyFont="1" applyFill="1" applyBorder="1" applyAlignment="1">
      <alignment vertical="center"/>
    </xf>
    <xf numFmtId="181" fontId="16" fillId="0" borderId="12" xfId="1" applyNumberFormat="1" applyFont="1" applyFill="1" applyBorder="1" applyAlignment="1">
      <alignment vertical="center"/>
    </xf>
    <xf numFmtId="184" fontId="16" fillId="0" borderId="0" xfId="1" applyNumberFormat="1" applyFont="1" applyFill="1" applyBorder="1" applyAlignment="1">
      <alignment horizontal="center" vertical="center"/>
    </xf>
    <xf numFmtId="184" fontId="16" fillId="0" borderId="0" xfId="1" applyNumberFormat="1" applyFont="1" applyFill="1" applyBorder="1" applyAlignment="1">
      <alignment vertical="center"/>
    </xf>
    <xf numFmtId="176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184" fontId="16" fillId="0" borderId="0" xfId="1" quotePrefix="1" applyNumberFormat="1" applyFont="1" applyFill="1" applyBorder="1" applyAlignment="1">
      <alignment vertical="center"/>
    </xf>
    <xf numFmtId="41" fontId="16" fillId="0" borderId="12" xfId="1" applyFont="1" applyFill="1" applyBorder="1" applyAlignment="1">
      <alignment vertical="center"/>
    </xf>
    <xf numFmtId="0" fontId="16" fillId="0" borderId="2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vertical="center"/>
    </xf>
    <xf numFmtId="41" fontId="16" fillId="0" borderId="6" xfId="1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176" fontId="16" fillId="0" borderId="11" xfId="1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vertical="center"/>
    </xf>
    <xf numFmtId="41" fontId="16" fillId="4" borderId="0" xfId="1" applyFont="1" applyFill="1" applyBorder="1" applyAlignment="1">
      <alignment vertical="center"/>
    </xf>
    <xf numFmtId="176" fontId="16" fillId="4" borderId="12" xfId="0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16" fillId="0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vertical="center"/>
    </xf>
    <xf numFmtId="41" fontId="16" fillId="4" borderId="6" xfId="1" applyFont="1" applyFill="1" applyBorder="1" applyAlignment="1">
      <alignment vertical="center"/>
    </xf>
    <xf numFmtId="176" fontId="16" fillId="4" borderId="7" xfId="0" applyNumberFormat="1" applyFont="1" applyFill="1" applyBorder="1" applyAlignment="1">
      <alignment vertical="center"/>
    </xf>
    <xf numFmtId="0" fontId="16" fillId="0" borderId="14" xfId="0" applyFont="1" applyFill="1" applyBorder="1" applyAlignment="1">
      <alignment horizontal="center" vertical="center" wrapText="1"/>
    </xf>
    <xf numFmtId="176" fontId="16" fillId="0" borderId="0" xfId="0" applyNumberFormat="1" applyFont="1" applyFill="1" applyBorder="1" applyAlignment="1">
      <alignment horizontal="center" vertical="center"/>
    </xf>
    <xf numFmtId="10" fontId="16" fillId="0" borderId="14" xfId="0" applyNumberFormat="1" applyFont="1" applyFill="1" applyBorder="1" applyAlignment="1">
      <alignment horizontal="center" vertical="center"/>
    </xf>
    <xf numFmtId="41" fontId="17" fillId="0" borderId="13" xfId="1" applyFont="1" applyFill="1" applyBorder="1" applyAlignment="1">
      <alignment vertical="center" wrapText="1"/>
    </xf>
    <xf numFmtId="10" fontId="14" fillId="0" borderId="14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center"/>
    </xf>
    <xf numFmtId="41" fontId="14" fillId="2" borderId="0" xfId="1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16" fillId="0" borderId="14" xfId="0" applyNumberFormat="1" applyFont="1" applyFill="1" applyBorder="1" applyAlignment="1">
      <alignment vertical="center"/>
    </xf>
    <xf numFmtId="0" fontId="16" fillId="4" borderId="14" xfId="0" applyNumberFormat="1" applyFont="1" applyFill="1" applyBorder="1" applyAlignment="1">
      <alignment vertical="center"/>
    </xf>
    <xf numFmtId="41" fontId="16" fillId="4" borderId="0" xfId="0" applyNumberFormat="1" applyFont="1" applyFill="1" applyBorder="1" applyAlignment="1">
      <alignment vertical="center"/>
    </xf>
    <xf numFmtId="41" fontId="16" fillId="4" borderId="12" xfId="0" applyNumberFormat="1" applyFont="1" applyFill="1" applyBorder="1" applyAlignment="1">
      <alignment vertical="center"/>
    </xf>
    <xf numFmtId="41" fontId="16" fillId="4" borderId="0" xfId="1" applyNumberFormat="1" applyFont="1" applyFill="1" applyBorder="1" applyAlignment="1">
      <alignment vertical="center"/>
    </xf>
    <xf numFmtId="41" fontId="16" fillId="4" borderId="12" xfId="1" applyNumberFormat="1" applyFont="1" applyFill="1" applyBorder="1" applyAlignment="1">
      <alignment vertical="center"/>
    </xf>
    <xf numFmtId="41" fontId="16" fillId="4" borderId="12" xfId="1" applyFont="1" applyFill="1" applyBorder="1" applyAlignment="1">
      <alignment vertical="center"/>
    </xf>
    <xf numFmtId="41" fontId="16" fillId="0" borderId="0" xfId="1" applyNumberFormat="1" applyFont="1" applyFill="1" applyBorder="1" applyAlignment="1">
      <alignment vertical="center"/>
    </xf>
    <xf numFmtId="41" fontId="16" fillId="0" borderId="0" xfId="1" quotePrefix="1" applyFont="1" applyFill="1" applyBorder="1" applyAlignment="1">
      <alignment vertical="center"/>
    </xf>
    <xf numFmtId="0" fontId="16" fillId="0" borderId="1" xfId="0" applyFont="1" applyFill="1" applyBorder="1" applyAlignment="1">
      <alignment horizontal="left" vertical="center"/>
    </xf>
    <xf numFmtId="41" fontId="16" fillId="0" borderId="8" xfId="1" applyFont="1" applyFill="1" applyBorder="1" applyAlignment="1">
      <alignment vertical="center"/>
    </xf>
    <xf numFmtId="176" fontId="16" fillId="0" borderId="1" xfId="0" applyNumberFormat="1" applyFont="1" applyFill="1" applyBorder="1" applyAlignment="1">
      <alignment horizontal="center" vertical="center"/>
    </xf>
    <xf numFmtId="41" fontId="16" fillId="0" borderId="13" xfId="1" applyNumberFormat="1" applyFont="1" applyFill="1" applyBorder="1" applyAlignment="1">
      <alignment vertical="center"/>
    </xf>
    <xf numFmtId="176" fontId="16" fillId="0" borderId="0" xfId="1" applyNumberFormat="1" applyFont="1" applyFill="1" applyBorder="1" applyAlignment="1">
      <alignment horizontal="center" vertical="center" wrapText="1"/>
    </xf>
    <xf numFmtId="0" fontId="16" fillId="4" borderId="0" xfId="0" applyNumberFormat="1" applyFont="1" applyFill="1" applyBorder="1" applyAlignment="1">
      <alignment vertical="center"/>
    </xf>
    <xf numFmtId="0" fontId="16" fillId="0" borderId="12" xfId="0" applyFont="1" applyFill="1" applyBorder="1" applyAlignment="1">
      <alignment horizontal="left" vertical="center"/>
    </xf>
    <xf numFmtId="0" fontId="16" fillId="0" borderId="11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vertical="center" wrapText="1"/>
    </xf>
    <xf numFmtId="41" fontId="16" fillId="4" borderId="0" xfId="0" quotePrefix="1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 wrapText="1"/>
    </xf>
    <xf numFmtId="41" fontId="16" fillId="0" borderId="0" xfId="0" applyNumberFormat="1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41" fontId="24" fillId="0" borderId="1" xfId="1" applyFont="1" applyFill="1" applyBorder="1" applyAlignment="1">
      <alignment vertical="center"/>
    </xf>
    <xf numFmtId="179" fontId="16" fillId="0" borderId="7" xfId="0" applyNumberFormat="1" applyFont="1" applyFill="1" applyBorder="1" applyAlignment="1">
      <alignment vertical="center"/>
    </xf>
    <xf numFmtId="3" fontId="16" fillId="0" borderId="12" xfId="0" applyNumberFormat="1" applyFont="1" applyFill="1" applyBorder="1" applyAlignment="1">
      <alignment vertical="center"/>
    </xf>
    <xf numFmtId="180" fontId="16" fillId="0" borderId="6" xfId="1" applyNumberFormat="1" applyFont="1" applyFill="1" applyBorder="1" applyAlignment="1">
      <alignment vertical="center"/>
    </xf>
    <xf numFmtId="41" fontId="16" fillId="0" borderId="0" xfId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vertical="center"/>
    </xf>
    <xf numFmtId="176" fontId="16" fillId="0" borderId="12" xfId="1" applyNumberFormat="1" applyFont="1" applyFill="1" applyBorder="1" applyAlignment="1">
      <alignment vertical="center"/>
    </xf>
    <xf numFmtId="178" fontId="16" fillId="0" borderId="1" xfId="1" applyNumberFormat="1" applyFont="1" applyFill="1" applyBorder="1" applyAlignment="1">
      <alignment vertical="center"/>
    </xf>
    <xf numFmtId="178" fontId="26" fillId="0" borderId="0" xfId="1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176" fontId="16" fillId="0" borderId="0" xfId="1" applyNumberFormat="1" applyFont="1" applyFill="1" applyBorder="1" applyAlignment="1">
      <alignment vertical="center"/>
    </xf>
    <xf numFmtId="41" fontId="16" fillId="3" borderId="8" xfId="1" applyNumberFormat="1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vertical="center"/>
    </xf>
    <xf numFmtId="185" fontId="16" fillId="0" borderId="7" xfId="0" applyNumberFormat="1" applyFont="1" applyFill="1" applyBorder="1" applyAlignment="1">
      <alignment vertical="center"/>
    </xf>
    <xf numFmtId="41" fontId="21" fillId="2" borderId="0" xfId="1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185" fontId="16" fillId="0" borderId="11" xfId="0" applyNumberFormat="1" applyFont="1" applyFill="1" applyBorder="1" applyAlignment="1">
      <alignment vertical="center"/>
    </xf>
    <xf numFmtId="185" fontId="16" fillId="0" borderId="12" xfId="0" applyNumberFormat="1" applyFont="1" applyFill="1" applyBorder="1" applyAlignment="1">
      <alignment vertical="center"/>
    </xf>
    <xf numFmtId="41" fontId="21" fillId="0" borderId="0" xfId="1" applyFont="1" applyFill="1" applyBorder="1" applyAlignment="1">
      <alignment vertical="center"/>
    </xf>
    <xf numFmtId="0" fontId="16" fillId="0" borderId="2" xfId="0" applyFont="1" applyFill="1" applyBorder="1" applyAlignment="1">
      <alignment vertical="center" wrapText="1"/>
    </xf>
    <xf numFmtId="185" fontId="16" fillId="4" borderId="7" xfId="0" applyNumberFormat="1" applyFont="1" applyFill="1" applyBorder="1" applyAlignment="1">
      <alignment vertical="center"/>
    </xf>
    <xf numFmtId="0" fontId="16" fillId="4" borderId="14" xfId="0" applyFont="1" applyFill="1" applyBorder="1" applyAlignment="1">
      <alignment vertical="center"/>
    </xf>
    <xf numFmtId="41" fontId="16" fillId="4" borderId="0" xfId="1" applyNumberFormat="1" applyFont="1" applyFill="1" applyBorder="1" applyAlignment="1">
      <alignment horizontal="right" vertical="center"/>
    </xf>
    <xf numFmtId="0" fontId="16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vertical="center"/>
    </xf>
    <xf numFmtId="182" fontId="16" fillId="0" borderId="12" xfId="1" applyNumberFormat="1" applyFont="1" applyFill="1" applyBorder="1" applyAlignment="1">
      <alignment vertical="center"/>
    </xf>
    <xf numFmtId="178" fontId="16" fillId="0" borderId="0" xfId="1" applyNumberFormat="1" applyFont="1" applyFill="1" applyBorder="1" applyAlignment="1">
      <alignment horizontal="right" vertical="center"/>
    </xf>
    <xf numFmtId="41" fontId="18" fillId="0" borderId="0" xfId="1" applyFont="1" applyFill="1" applyBorder="1" applyAlignment="1">
      <alignment vertical="center"/>
    </xf>
    <xf numFmtId="41" fontId="18" fillId="0" borderId="0" xfId="1" applyFont="1" applyFill="1" applyBorder="1" applyAlignment="1">
      <alignment horizontal="center" vertical="center"/>
    </xf>
    <xf numFmtId="41" fontId="21" fillId="0" borderId="0" xfId="1" applyFont="1" applyFill="1" applyBorder="1" applyAlignment="1">
      <alignment horizontal="center" vertical="center"/>
    </xf>
    <xf numFmtId="41" fontId="18" fillId="0" borderId="0" xfId="1" quotePrefix="1" applyFont="1" applyFill="1" applyBorder="1" applyAlignment="1">
      <alignment vertical="center"/>
    </xf>
    <xf numFmtId="41" fontId="18" fillId="0" borderId="0" xfId="1" applyFont="1" applyFill="1" applyBorder="1"/>
    <xf numFmtId="41" fontId="18" fillId="0" borderId="0" xfId="1" applyFont="1" applyFill="1" applyBorder="1" applyAlignment="1">
      <alignment horizontal="center"/>
    </xf>
    <xf numFmtId="41" fontId="16" fillId="0" borderId="11" xfId="1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41" fontId="16" fillId="0" borderId="1" xfId="1" applyFont="1" applyFill="1" applyBorder="1" applyAlignment="1">
      <alignment horizontal="right" vertical="center"/>
    </xf>
    <xf numFmtId="41" fontId="18" fillId="0" borderId="1" xfId="1" applyFont="1" applyFill="1" applyBorder="1"/>
    <xf numFmtId="41" fontId="18" fillId="0" borderId="1" xfId="1" applyFont="1" applyFill="1" applyBorder="1" applyAlignment="1">
      <alignment horizontal="center"/>
    </xf>
    <xf numFmtId="41" fontId="14" fillId="3" borderId="12" xfId="1" applyFont="1" applyFill="1" applyBorder="1" applyAlignment="1">
      <alignment vertical="center"/>
    </xf>
    <xf numFmtId="0" fontId="14" fillId="0" borderId="12" xfId="0" applyFont="1" applyFill="1" applyBorder="1" applyAlignment="1">
      <alignment horizontal="center" vertical="center"/>
    </xf>
    <xf numFmtId="41" fontId="14" fillId="0" borderId="11" xfId="1" applyFont="1" applyFill="1" applyBorder="1" applyAlignment="1">
      <alignment vertical="center"/>
    </xf>
    <xf numFmtId="0" fontId="14" fillId="0" borderId="11" xfId="0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41" fontId="16" fillId="4" borderId="7" xfId="1" applyFont="1" applyFill="1" applyBorder="1" applyAlignment="1">
      <alignment vertical="center"/>
    </xf>
    <xf numFmtId="41" fontId="21" fillId="0" borderId="0" xfId="0" applyNumberFormat="1" applyFont="1" applyFill="1" applyBorder="1" applyAlignment="1">
      <alignment vertical="center"/>
    </xf>
    <xf numFmtId="178" fontId="16" fillId="0" borderId="0" xfId="0" applyNumberFormat="1" applyFont="1" applyFill="1" applyBorder="1" applyAlignment="1">
      <alignment vertical="center"/>
    </xf>
    <xf numFmtId="180" fontId="16" fillId="0" borderId="0" xfId="0" applyNumberFormat="1" applyFont="1" applyFill="1" applyBorder="1" applyAlignment="1">
      <alignment vertical="center"/>
    </xf>
    <xf numFmtId="177" fontId="16" fillId="0" borderId="12" xfId="1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85" fontId="16" fillId="0" borderId="12" xfId="1" applyNumberFormat="1" applyFont="1" applyFill="1" applyBorder="1" applyAlignment="1">
      <alignment vertical="center"/>
    </xf>
    <xf numFmtId="185" fontId="16" fillId="0" borderId="0" xfId="1" applyNumberFormat="1" applyFont="1" applyFill="1" applyBorder="1" applyAlignment="1">
      <alignment vertical="center"/>
    </xf>
    <xf numFmtId="176" fontId="16" fillId="0" borderId="12" xfId="1" applyNumberFormat="1" applyFont="1" applyFill="1" applyBorder="1" applyAlignment="1">
      <alignment horizontal="center" vertical="center" wrapText="1"/>
    </xf>
    <xf numFmtId="180" fontId="16" fillId="4" borderId="0" xfId="1" applyNumberFormat="1" applyFont="1" applyFill="1" applyBorder="1" applyAlignment="1">
      <alignment horizontal="right" vertical="center"/>
    </xf>
    <xf numFmtId="41" fontId="16" fillId="4" borderId="0" xfId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vertical="center"/>
    </xf>
    <xf numFmtId="185" fontId="16" fillId="0" borderId="0" xfId="1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right" vertical="center"/>
    </xf>
    <xf numFmtId="185" fontId="16" fillId="0" borderId="1" xfId="1" applyNumberFormat="1" applyFont="1" applyFill="1" applyBorder="1" applyAlignment="1">
      <alignment horizontal="right" vertical="center"/>
    </xf>
    <xf numFmtId="185" fontId="16" fillId="0" borderId="11" xfId="1" applyNumberFormat="1" applyFont="1" applyFill="1" applyBorder="1" applyAlignment="1">
      <alignment vertical="center"/>
    </xf>
    <xf numFmtId="185" fontId="16" fillId="0" borderId="0" xfId="1" applyNumberFormat="1" applyFont="1" applyFill="1" applyBorder="1" applyAlignment="1">
      <alignment horizontal="right" vertical="center"/>
    </xf>
    <xf numFmtId="0" fontId="16" fillId="0" borderId="6" xfId="1" applyNumberFormat="1" applyFont="1" applyFill="1" applyBorder="1" applyAlignment="1">
      <alignment vertical="center"/>
    </xf>
    <xf numFmtId="0" fontId="16" fillId="0" borderId="6" xfId="0" applyNumberFormat="1" applyFont="1" applyFill="1" applyBorder="1" applyAlignment="1">
      <alignment horizontal="center" vertical="center"/>
    </xf>
    <xf numFmtId="181" fontId="16" fillId="0" borderId="7" xfId="1" applyNumberFormat="1" applyFont="1" applyFill="1" applyBorder="1" applyAlignment="1">
      <alignment vertical="center"/>
    </xf>
    <xf numFmtId="49" fontId="16" fillId="0" borderId="14" xfId="0" applyNumberFormat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5" xfId="0" applyNumberFormat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vertical="center"/>
    </xf>
    <xf numFmtId="188" fontId="16" fillId="0" borderId="13" xfId="1" applyNumberFormat="1" applyFont="1" applyFill="1" applyBorder="1" applyAlignment="1">
      <alignment horizontal="center" vertical="center" wrapText="1"/>
    </xf>
    <xf numFmtId="178" fontId="16" fillId="0" borderId="6" xfId="1" applyNumberFormat="1" applyFont="1" applyFill="1" applyBorder="1" applyAlignment="1">
      <alignment vertical="center"/>
    </xf>
    <xf numFmtId="10" fontId="16" fillId="0" borderId="12" xfId="1" applyNumberFormat="1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 wrapText="1"/>
    </xf>
    <xf numFmtId="187" fontId="16" fillId="0" borderId="8" xfId="1" applyNumberFormat="1" applyFont="1" applyFill="1" applyBorder="1" applyAlignment="1">
      <alignment horizontal="center" vertical="center" wrapText="1"/>
    </xf>
    <xf numFmtId="41" fontId="14" fillId="3" borderId="9" xfId="1" applyFont="1" applyFill="1" applyBorder="1" applyAlignment="1">
      <alignment vertical="center" wrapText="1"/>
    </xf>
    <xf numFmtId="9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quotePrefix="1" applyNumberFormat="1" applyFont="1" applyFill="1" applyBorder="1" applyAlignment="1">
      <alignment horizontal="center" vertical="center"/>
    </xf>
    <xf numFmtId="41" fontId="14" fillId="3" borderId="2" xfId="1" applyFont="1" applyFill="1" applyBorder="1" applyAlignment="1">
      <alignment vertical="center" wrapText="1"/>
    </xf>
    <xf numFmtId="185" fontId="16" fillId="0" borderId="7" xfId="1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1" fontId="16" fillId="0" borderId="6" xfId="1" applyFont="1" applyFill="1" applyBorder="1" applyAlignment="1">
      <alignment horizontal="right" vertical="center"/>
    </xf>
    <xf numFmtId="49" fontId="16" fillId="0" borderId="6" xfId="0" applyNumberFormat="1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179" fontId="16" fillId="0" borderId="0" xfId="0" applyNumberFormat="1" applyFont="1" applyFill="1" applyBorder="1" applyAlignment="1">
      <alignment vertical="center"/>
    </xf>
    <xf numFmtId="0" fontId="21" fillId="0" borderId="13" xfId="0" applyFont="1" applyFill="1" applyBorder="1" applyAlignment="1">
      <alignment vertical="center"/>
    </xf>
    <xf numFmtId="49" fontId="16" fillId="0" borderId="10" xfId="0" applyNumberFormat="1" applyFont="1" applyFill="1" applyBorder="1" applyAlignment="1">
      <alignment vertical="center"/>
    </xf>
    <xf numFmtId="49" fontId="16" fillId="0" borderId="1" xfId="1" applyNumberFormat="1" applyFont="1" applyFill="1" applyBorder="1" applyAlignment="1">
      <alignment horizontal="right" vertical="center"/>
    </xf>
    <xf numFmtId="188" fontId="16" fillId="0" borderId="8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right" vertical="center"/>
    </xf>
    <xf numFmtId="49" fontId="16" fillId="0" borderId="14" xfId="0" applyNumberFormat="1" applyFont="1" applyFill="1" applyBorder="1" applyAlignment="1">
      <alignment horizontal="left" vertical="center"/>
    </xf>
    <xf numFmtId="41" fontId="16" fillId="0" borderId="0" xfId="1" applyFont="1" applyFill="1" applyBorder="1" applyAlignment="1">
      <alignment horizontal="left" vertical="center"/>
    </xf>
    <xf numFmtId="10" fontId="16" fillId="0" borderId="1" xfId="0" applyNumberFormat="1" applyFont="1" applyFill="1" applyBorder="1" applyAlignment="1">
      <alignment horizontal="center" vertical="center" wrapText="1"/>
    </xf>
    <xf numFmtId="181" fontId="16" fillId="0" borderId="11" xfId="1" applyNumberFormat="1" applyFont="1" applyFill="1" applyBorder="1" applyAlignment="1">
      <alignment vertical="center"/>
    </xf>
    <xf numFmtId="49" fontId="16" fillId="0" borderId="14" xfId="0" applyNumberFormat="1" applyFont="1" applyFill="1" applyBorder="1" applyAlignment="1">
      <alignment vertical="center" wrapText="1"/>
    </xf>
    <xf numFmtId="182" fontId="16" fillId="0" borderId="12" xfId="0" applyNumberFormat="1" applyFont="1" applyFill="1" applyBorder="1" applyAlignment="1">
      <alignment vertical="center"/>
    </xf>
    <xf numFmtId="41" fontId="16" fillId="0" borderId="0" xfId="1" applyNumberFormat="1" applyFont="1" applyFill="1" applyBorder="1" applyAlignment="1">
      <alignment horizontal="right" vertical="center"/>
    </xf>
    <xf numFmtId="41" fontId="16" fillId="0" borderId="0" xfId="1" applyNumberFormat="1" applyFont="1" applyFill="1" applyBorder="1" applyAlignment="1">
      <alignment horizontal="right" vertical="center" wrapText="1"/>
    </xf>
    <xf numFmtId="49" fontId="16" fillId="0" borderId="14" xfId="0" applyNumberFormat="1" applyFont="1" applyFill="1" applyBorder="1" applyAlignment="1">
      <alignment horizontal="left" vertical="center" wrapText="1"/>
    </xf>
    <xf numFmtId="49" fontId="16" fillId="0" borderId="0" xfId="0" applyNumberFormat="1" applyFont="1" applyFill="1" applyBorder="1" applyAlignment="1">
      <alignment horizontal="left" vertical="center"/>
    </xf>
    <xf numFmtId="49" fontId="28" fillId="0" borderId="14" xfId="0" applyNumberFormat="1" applyFont="1" applyFill="1" applyBorder="1" applyAlignment="1">
      <alignment horizontal="left" vertical="center"/>
    </xf>
    <xf numFmtId="178" fontId="28" fillId="0" borderId="0" xfId="1" applyNumberFormat="1" applyFont="1" applyFill="1" applyBorder="1" applyAlignment="1">
      <alignment horizontal="right" vertical="center"/>
    </xf>
    <xf numFmtId="49" fontId="28" fillId="0" borderId="0" xfId="0" applyNumberFormat="1" applyFont="1" applyFill="1" applyBorder="1" applyAlignment="1">
      <alignment horizontal="center" vertical="center"/>
    </xf>
    <xf numFmtId="181" fontId="28" fillId="0" borderId="12" xfId="0" applyNumberFormat="1" applyFont="1" applyFill="1" applyBorder="1" applyAlignment="1">
      <alignment vertical="center"/>
    </xf>
    <xf numFmtId="181" fontId="29" fillId="0" borderId="12" xfId="0" applyNumberFormat="1" applyFont="1" applyFill="1" applyBorder="1" applyAlignment="1">
      <alignment vertical="center"/>
    </xf>
    <xf numFmtId="185" fontId="29" fillId="0" borderId="11" xfId="0" applyNumberFormat="1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181" fontId="16" fillId="0" borderId="7" xfId="0" applyNumberFormat="1" applyFont="1" applyFill="1" applyBorder="1" applyAlignment="1">
      <alignment vertical="center"/>
    </xf>
    <xf numFmtId="9" fontId="16" fillId="0" borderId="8" xfId="1" applyNumberFormat="1" applyFont="1" applyFill="1" applyBorder="1" applyAlignment="1">
      <alignment horizontal="center" vertical="center" wrapText="1"/>
    </xf>
    <xf numFmtId="49" fontId="16" fillId="0" borderId="10" xfId="0" applyNumberFormat="1" applyFont="1" applyFill="1" applyBorder="1" applyAlignment="1">
      <alignment horizontal="right" vertical="center"/>
    </xf>
    <xf numFmtId="178" fontId="16" fillId="0" borderId="1" xfId="1" applyNumberFormat="1" applyFont="1" applyFill="1" applyBorder="1" applyAlignment="1">
      <alignment horizontal="right"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180" fontId="16" fillId="0" borderId="6" xfId="1" applyNumberFormat="1" applyFont="1" applyFill="1" applyBorder="1" applyAlignment="1">
      <alignment horizontal="right" vertical="center"/>
    </xf>
    <xf numFmtId="179" fontId="16" fillId="0" borderId="7" xfId="1" applyNumberFormat="1" applyFont="1" applyFill="1" applyBorder="1" applyAlignment="1">
      <alignment vertical="center"/>
    </xf>
    <xf numFmtId="41" fontId="16" fillId="0" borderId="12" xfId="1" applyFont="1" applyFill="1" applyBorder="1" applyAlignment="1">
      <alignment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vertical="center"/>
    </xf>
    <xf numFmtId="0" fontId="16" fillId="0" borderId="11" xfId="0" applyFont="1" applyFill="1" applyBorder="1" applyAlignment="1">
      <alignment horizontal="center" vertical="center" wrapText="1"/>
    </xf>
    <xf numFmtId="41" fontId="16" fillId="0" borderId="11" xfId="1" applyFont="1" applyFill="1" applyBorder="1" applyAlignment="1">
      <alignment vertical="center" wrapText="1"/>
    </xf>
    <xf numFmtId="176" fontId="16" fillId="0" borderId="1" xfId="1" applyNumberFormat="1" applyFont="1" applyFill="1" applyBorder="1" applyAlignment="1">
      <alignment horizontal="center" vertical="center" wrapText="1"/>
    </xf>
    <xf numFmtId="180" fontId="16" fillId="0" borderId="1" xfId="1" applyNumberFormat="1" applyFont="1" applyFill="1" applyBorder="1" applyAlignment="1">
      <alignment horizontal="right" vertical="center"/>
    </xf>
    <xf numFmtId="179" fontId="16" fillId="0" borderId="12" xfId="1" applyNumberFormat="1" applyFont="1" applyFill="1" applyBorder="1" applyAlignment="1">
      <alignment horizontal="right" vertical="center"/>
    </xf>
    <xf numFmtId="41" fontId="16" fillId="0" borderId="12" xfId="1" applyFont="1" applyFill="1" applyBorder="1" applyAlignment="1">
      <alignment horizontal="center" vertical="center"/>
    </xf>
    <xf numFmtId="10" fontId="16" fillId="0" borderId="11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vertical="center"/>
    </xf>
    <xf numFmtId="41" fontId="30" fillId="0" borderId="0" xfId="1" applyFont="1" applyFill="1" applyBorder="1" applyAlignment="1">
      <alignment vertical="center"/>
    </xf>
    <xf numFmtId="0" fontId="16" fillId="0" borderId="11" xfId="0" applyFont="1" applyFill="1" applyBorder="1" applyAlignment="1">
      <alignment vertical="center" wrapText="1"/>
    </xf>
    <xf numFmtId="0" fontId="16" fillId="2" borderId="14" xfId="0" applyFont="1" applyFill="1" applyBorder="1" applyAlignment="1">
      <alignment vertical="center"/>
    </xf>
    <xf numFmtId="181" fontId="16" fillId="2" borderId="12" xfId="1" applyNumberFormat="1" applyFont="1" applyFill="1" applyBorder="1" applyAlignment="1">
      <alignment vertical="center"/>
    </xf>
    <xf numFmtId="41" fontId="16" fillId="3" borderId="12" xfId="1" applyFont="1" applyFill="1" applyBorder="1" applyAlignment="1">
      <alignment vertical="center" wrapText="1"/>
    </xf>
    <xf numFmtId="189" fontId="16" fillId="3" borderId="12" xfId="1" applyNumberFormat="1" applyFont="1" applyFill="1" applyBorder="1" applyAlignment="1">
      <alignment vertical="center" wrapText="1"/>
    </xf>
    <xf numFmtId="0" fontId="21" fillId="0" borderId="14" xfId="0" applyFont="1" applyFill="1" applyBorder="1" applyAlignment="1">
      <alignment vertical="center"/>
    </xf>
    <xf numFmtId="41" fontId="16" fillId="3" borderId="4" xfId="1" applyFont="1" applyFill="1" applyBorder="1" applyAlignment="1">
      <alignment vertical="center"/>
    </xf>
    <xf numFmtId="182" fontId="16" fillId="0" borderId="7" xfId="0" applyNumberFormat="1" applyFont="1" applyFill="1" applyBorder="1" applyAlignment="1">
      <alignment vertical="center"/>
    </xf>
    <xf numFmtId="41" fontId="16" fillId="3" borderId="12" xfId="1" applyFont="1" applyFill="1" applyBorder="1" applyAlignment="1">
      <alignment vertical="center"/>
    </xf>
    <xf numFmtId="41" fontId="16" fillId="3" borderId="11" xfId="1" applyFont="1" applyFill="1" applyBorder="1" applyAlignment="1">
      <alignment vertical="center"/>
    </xf>
    <xf numFmtId="180" fontId="16" fillId="0" borderId="1" xfId="1" applyNumberFormat="1" applyFont="1" applyFill="1" applyBorder="1" applyAlignment="1">
      <alignment vertical="center"/>
    </xf>
    <xf numFmtId="176" fontId="16" fillId="0" borderId="11" xfId="1" applyNumberFormat="1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right" vertical="center" wrapText="1"/>
    </xf>
    <xf numFmtId="41" fontId="20" fillId="0" borderId="0" xfId="0" applyNumberFormat="1" applyFont="1" applyFill="1" applyBorder="1" applyAlignment="1">
      <alignment horizontal="center" vertical="center"/>
    </xf>
    <xf numFmtId="41" fontId="14" fillId="0" borderId="13" xfId="1" applyFont="1" applyFill="1" applyBorder="1" applyAlignment="1">
      <alignment vertical="center"/>
    </xf>
    <xf numFmtId="41" fontId="16" fillId="0" borderId="0" xfId="0" quotePrefix="1" applyNumberFormat="1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>
      <alignment horizontal="left" vertical="center"/>
    </xf>
    <xf numFmtId="0" fontId="16" fillId="0" borderId="12" xfId="0" applyFont="1" applyFill="1" applyBorder="1" applyAlignment="1">
      <alignment vertical="center" wrapText="1"/>
    </xf>
    <xf numFmtId="49" fontId="16" fillId="0" borderId="1" xfId="0" quotePrefix="1" applyNumberFormat="1" applyFont="1" applyFill="1" applyBorder="1" applyAlignment="1">
      <alignment vertical="center"/>
    </xf>
    <xf numFmtId="41" fontId="16" fillId="0" borderId="12" xfId="1" applyNumberFormat="1" applyFont="1" applyFill="1" applyBorder="1" applyAlignment="1">
      <alignment vertical="center"/>
    </xf>
    <xf numFmtId="0" fontId="0" fillId="0" borderId="13" xfId="0" applyFill="1" applyBorder="1" applyAlignment="1"/>
    <xf numFmtId="0" fontId="0" fillId="0" borderId="8" xfId="0" applyFill="1" applyBorder="1" applyAlignment="1"/>
    <xf numFmtId="49" fontId="20" fillId="0" borderId="0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/>
    </xf>
    <xf numFmtId="49" fontId="16" fillId="0" borderId="1" xfId="1" applyNumberFormat="1" applyFont="1" applyFill="1" applyBorder="1" applyAlignment="1">
      <alignment vertical="center"/>
    </xf>
    <xf numFmtId="49" fontId="16" fillId="0" borderId="6" xfId="1" applyNumberFormat="1" applyFont="1" applyFill="1" applyBorder="1" applyAlignment="1">
      <alignment vertical="center"/>
    </xf>
    <xf numFmtId="10" fontId="20" fillId="0" borderId="0" xfId="1" applyNumberFormat="1" applyFont="1" applyFill="1" applyBorder="1" applyAlignment="1">
      <alignment vertical="center"/>
    </xf>
    <xf numFmtId="10" fontId="20" fillId="0" borderId="0" xfId="0" applyNumberFormat="1" applyFont="1" applyFill="1" applyBorder="1" applyAlignment="1">
      <alignment vertical="center"/>
    </xf>
    <xf numFmtId="178" fontId="20" fillId="0" borderId="0" xfId="1" applyNumberFormat="1" applyFont="1" applyFill="1" applyBorder="1" applyAlignment="1">
      <alignment vertical="center"/>
    </xf>
    <xf numFmtId="184" fontId="16" fillId="0" borderId="7" xfId="0" applyNumberFormat="1" applyFont="1" applyFill="1" applyBorder="1" applyAlignment="1">
      <alignment vertical="center"/>
    </xf>
    <xf numFmtId="184" fontId="16" fillId="0" borderId="12" xfId="0" applyNumberFormat="1" applyFont="1" applyFill="1" applyBorder="1" applyAlignment="1">
      <alignment vertical="center"/>
    </xf>
    <xf numFmtId="184" fontId="16" fillId="0" borderId="11" xfId="0" applyNumberFormat="1" applyFont="1" applyFill="1" applyBorder="1" applyAlignment="1">
      <alignment vertical="center"/>
    </xf>
    <xf numFmtId="181" fontId="16" fillId="2" borderId="12" xfId="0" applyNumberFormat="1" applyFont="1" applyFill="1" applyBorder="1" applyAlignment="1">
      <alignment vertical="center"/>
    </xf>
    <xf numFmtId="41" fontId="16" fillId="7" borderId="9" xfId="1" applyFont="1" applyFill="1" applyBorder="1" applyAlignment="1">
      <alignment vertical="center" wrapText="1"/>
    </xf>
    <xf numFmtId="182" fontId="16" fillId="0" borderId="7" xfId="1" applyNumberFormat="1" applyFont="1" applyFill="1" applyBorder="1" applyAlignment="1">
      <alignment horizontal="right" vertical="center" wrapText="1"/>
    </xf>
    <xf numFmtId="41" fontId="16" fillId="7" borderId="9" xfId="1" applyFont="1" applyFill="1" applyBorder="1" applyAlignment="1">
      <alignment vertical="center"/>
    </xf>
    <xf numFmtId="185" fontId="16" fillId="0" borderId="12" xfId="0" applyNumberFormat="1" applyFont="1" applyFill="1" applyBorder="1" applyAlignment="1">
      <alignment vertical="center" wrapText="1"/>
    </xf>
    <xf numFmtId="182" fontId="16" fillId="0" borderId="12" xfId="1" applyNumberFormat="1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185" fontId="21" fillId="2" borderId="0" xfId="0" applyNumberFormat="1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/>
    </xf>
    <xf numFmtId="41" fontId="21" fillId="0" borderId="12" xfId="1" applyFont="1" applyFill="1" applyBorder="1" applyAlignment="1">
      <alignment vertical="center"/>
    </xf>
    <xf numFmtId="185" fontId="21" fillId="2" borderId="0" xfId="0" applyNumberFormat="1" applyFont="1" applyFill="1" applyAlignment="1">
      <alignment vertical="center"/>
    </xf>
    <xf numFmtId="41" fontId="31" fillId="2" borderId="0" xfId="1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0" fontId="16" fillId="0" borderId="13" xfId="0" applyNumberFormat="1" applyFont="1" applyFill="1" applyBorder="1" applyAlignment="1">
      <alignment horizontal="center" vertical="center" wrapText="1"/>
    </xf>
    <xf numFmtId="176" fontId="16" fillId="0" borderId="13" xfId="0" applyNumberFormat="1" applyFont="1" applyFill="1" applyBorder="1" applyAlignment="1">
      <alignment horizontal="center" vertical="center" wrapText="1"/>
    </xf>
    <xf numFmtId="41" fontId="21" fillId="10" borderId="0" xfId="1" applyFont="1" applyFill="1" applyBorder="1" applyAlignment="1">
      <alignment vertical="center"/>
    </xf>
    <xf numFmtId="0" fontId="31" fillId="2" borderId="0" xfId="0" applyFont="1" applyFill="1" applyBorder="1" applyAlignment="1">
      <alignment vertical="center"/>
    </xf>
    <xf numFmtId="0" fontId="26" fillId="0" borderId="14" xfId="0" applyFont="1" applyFill="1" applyBorder="1" applyAlignment="1">
      <alignment horizontal="center" vertical="center"/>
    </xf>
    <xf numFmtId="41" fontId="21" fillId="11" borderId="0" xfId="1" applyFont="1" applyFill="1" applyBorder="1" applyAlignment="1">
      <alignment vertical="center"/>
    </xf>
    <xf numFmtId="0" fontId="16" fillId="6" borderId="14" xfId="0" applyFont="1" applyFill="1" applyBorder="1" applyAlignment="1">
      <alignment vertical="center"/>
    </xf>
    <xf numFmtId="178" fontId="16" fillId="6" borderId="0" xfId="1" applyNumberFormat="1" applyFont="1" applyFill="1" applyBorder="1" applyAlignment="1">
      <alignment horizontal="right" vertical="center"/>
    </xf>
    <xf numFmtId="49" fontId="16" fillId="6" borderId="0" xfId="0" applyNumberFormat="1" applyFont="1" applyFill="1" applyBorder="1" applyAlignment="1">
      <alignment vertical="center"/>
    </xf>
    <xf numFmtId="181" fontId="16" fillId="6" borderId="12" xfId="1" applyNumberFormat="1" applyFont="1" applyFill="1" applyBorder="1" applyAlignment="1">
      <alignment vertical="center"/>
    </xf>
    <xf numFmtId="41" fontId="14" fillId="0" borderId="1" xfId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41" fontId="17" fillId="0" borderId="2" xfId="1" applyFont="1" applyFill="1" applyBorder="1" applyAlignment="1">
      <alignment horizontal="center" vertical="center" wrapText="1"/>
    </xf>
    <xf numFmtId="41" fontId="17" fillId="0" borderId="9" xfId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right" vertical="center" wrapText="1"/>
    </xf>
    <xf numFmtId="3" fontId="16" fillId="0" borderId="7" xfId="0" applyNumberFormat="1" applyFont="1" applyFill="1" applyBorder="1" applyAlignment="1">
      <alignment vertical="center"/>
    </xf>
    <xf numFmtId="3" fontId="16" fillId="0" borderId="11" xfId="0" applyNumberFormat="1" applyFont="1" applyFill="1" applyBorder="1" applyAlignment="1">
      <alignment vertical="center"/>
    </xf>
    <xf numFmtId="41" fontId="16" fillId="0" borderId="9" xfId="1" applyFont="1" applyFill="1" applyBorder="1" applyAlignment="1">
      <alignment horizontal="right" vertical="center"/>
    </xf>
    <xf numFmtId="41" fontId="16" fillId="0" borderId="2" xfId="1" applyFont="1" applyFill="1" applyBorder="1" applyAlignment="1">
      <alignment horizontal="right" vertical="center"/>
    </xf>
    <xf numFmtId="176" fontId="16" fillId="0" borderId="13" xfId="0" applyNumberFormat="1" applyFont="1" applyFill="1" applyBorder="1" applyAlignment="1">
      <alignment horizontal="right" vertical="center" wrapText="1"/>
    </xf>
    <xf numFmtId="10" fontId="16" fillId="0" borderId="13" xfId="0" applyNumberFormat="1" applyFont="1" applyFill="1" applyBorder="1" applyAlignment="1">
      <alignment horizontal="right" vertical="center" wrapText="1"/>
    </xf>
    <xf numFmtId="0" fontId="13" fillId="0" borderId="0" xfId="5">
      <alignment vertical="center"/>
    </xf>
    <xf numFmtId="176" fontId="16" fillId="0" borderId="7" xfId="0" applyNumberFormat="1" applyFont="1" applyFill="1" applyBorder="1" applyAlignment="1">
      <alignment vertical="center"/>
    </xf>
    <xf numFmtId="0" fontId="16" fillId="12" borderId="5" xfId="0" applyFont="1" applyFill="1" applyBorder="1" applyAlignment="1">
      <alignment vertical="center"/>
    </xf>
    <xf numFmtId="41" fontId="16" fillId="12" borderId="6" xfId="1" applyFont="1" applyFill="1" applyBorder="1" applyAlignment="1">
      <alignment vertical="center"/>
    </xf>
    <xf numFmtId="0" fontId="16" fillId="12" borderId="6" xfId="0" applyFont="1" applyFill="1" applyBorder="1" applyAlignment="1">
      <alignment vertical="center"/>
    </xf>
    <xf numFmtId="0" fontId="16" fillId="12" borderId="14" xfId="0" applyFont="1" applyFill="1" applyBorder="1" applyAlignment="1">
      <alignment vertical="center"/>
    </xf>
    <xf numFmtId="41" fontId="16" fillId="12" borderId="0" xfId="1" applyFont="1" applyFill="1" applyBorder="1" applyAlignment="1">
      <alignment vertical="center"/>
    </xf>
    <xf numFmtId="0" fontId="16" fillId="12" borderId="0" xfId="0" applyFont="1" applyFill="1" applyBorder="1" applyAlignment="1">
      <alignment vertical="center"/>
    </xf>
    <xf numFmtId="179" fontId="16" fillId="12" borderId="12" xfId="0" applyNumberFormat="1" applyFont="1" applyFill="1" applyBorder="1" applyAlignment="1">
      <alignment vertical="center"/>
    </xf>
    <xf numFmtId="41" fontId="16" fillId="0" borderId="8" xfId="1" applyFont="1" applyFill="1" applyBorder="1" applyAlignment="1">
      <alignment horizontal="right" vertical="center" wrapText="1"/>
    </xf>
    <xf numFmtId="0" fontId="16" fillId="0" borderId="0" xfId="0" applyFont="1" applyFill="1" applyBorder="1" applyAlignment="1">
      <alignment horizontal="right" vertical="center"/>
    </xf>
    <xf numFmtId="176" fontId="16" fillId="0" borderId="12" xfId="0" applyNumberFormat="1" applyFont="1" applyFill="1" applyBorder="1" applyAlignment="1">
      <alignment horizontal="right" vertical="center"/>
    </xf>
    <xf numFmtId="0" fontId="0" fillId="0" borderId="0" xfId="5" applyFont="1">
      <alignment vertical="center"/>
    </xf>
    <xf numFmtId="0" fontId="16" fillId="0" borderId="1" xfId="0" applyFont="1" applyFill="1" applyBorder="1" applyAlignment="1">
      <alignment horizontal="right" vertical="center"/>
    </xf>
    <xf numFmtId="181" fontId="16" fillId="0" borderId="12" xfId="0" applyNumberFormat="1" applyFont="1" applyFill="1" applyBorder="1" applyAlignment="1">
      <alignment horizontal="right" vertical="center"/>
    </xf>
    <xf numFmtId="41" fontId="16" fillId="0" borderId="9" xfId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right" vertical="center"/>
    </xf>
    <xf numFmtId="181" fontId="16" fillId="0" borderId="7" xfId="0" applyNumberFormat="1" applyFont="1" applyFill="1" applyBorder="1" applyAlignment="1">
      <alignment horizontal="right" vertical="center"/>
    </xf>
    <xf numFmtId="181" fontId="16" fillId="12" borderId="12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 applyAlignment="1">
      <alignment vertical="center" wrapText="1"/>
    </xf>
    <xf numFmtId="10" fontId="16" fillId="0" borderId="13" xfId="0" applyNumberFormat="1" applyFont="1" applyFill="1" applyBorder="1" applyAlignment="1">
      <alignment vertical="center" wrapText="1"/>
    </xf>
    <xf numFmtId="176" fontId="16" fillId="0" borderId="8" xfId="0" applyNumberFormat="1" applyFont="1" applyFill="1" applyBorder="1" applyAlignment="1">
      <alignment vertical="center" wrapText="1"/>
    </xf>
    <xf numFmtId="10" fontId="16" fillId="0" borderId="8" xfId="0" applyNumberFormat="1" applyFont="1" applyFill="1" applyBorder="1" applyAlignment="1">
      <alignment vertical="center" wrapText="1"/>
    </xf>
    <xf numFmtId="41" fontId="16" fillId="0" borderId="12" xfId="1" applyFont="1" applyFill="1" applyBorder="1" applyAlignment="1">
      <alignment horizontal="right" vertical="center"/>
    </xf>
    <xf numFmtId="41" fontId="16" fillId="0" borderId="2" xfId="1" applyFont="1" applyFill="1" applyBorder="1" applyAlignment="1">
      <alignment vertical="center" wrapText="1"/>
    </xf>
    <xf numFmtId="179" fontId="16" fillId="0" borderId="6" xfId="1" applyNumberFormat="1" applyFont="1" applyFill="1" applyBorder="1" applyAlignment="1">
      <alignment vertical="center"/>
    </xf>
    <xf numFmtId="179" fontId="16" fillId="0" borderId="6" xfId="0" applyNumberFormat="1" applyFont="1" applyFill="1" applyBorder="1" applyAlignment="1">
      <alignment vertical="center"/>
    </xf>
    <xf numFmtId="179" fontId="16" fillId="0" borderId="0" xfId="1" applyNumberFormat="1" applyFont="1" applyFill="1" applyBorder="1" applyAlignment="1">
      <alignment vertical="center"/>
    </xf>
    <xf numFmtId="179" fontId="16" fillId="0" borderId="1" xfId="0" applyNumberFormat="1" applyFont="1" applyFill="1" applyBorder="1" applyAlignment="1">
      <alignment vertical="center"/>
    </xf>
    <xf numFmtId="179" fontId="16" fillId="0" borderId="11" xfId="0" applyNumberFormat="1" applyFont="1" applyFill="1" applyBorder="1" applyAlignment="1">
      <alignment vertical="center"/>
    </xf>
    <xf numFmtId="41" fontId="16" fillId="0" borderId="9" xfId="1" applyFont="1" applyFill="1" applyBorder="1" applyAlignment="1">
      <alignment horizontal="right" vertical="center" wrapText="1"/>
    </xf>
    <xf numFmtId="41" fontId="21" fillId="0" borderId="0" xfId="1" applyFont="1" applyFill="1" applyBorder="1" applyAlignment="1">
      <alignment horizontal="left" vertical="center"/>
    </xf>
    <xf numFmtId="185" fontId="21" fillId="0" borderId="0" xfId="0" applyNumberFormat="1" applyFont="1" applyFill="1" applyBorder="1" applyAlignment="1">
      <alignment vertical="center"/>
    </xf>
    <xf numFmtId="41" fontId="21" fillId="0" borderId="12" xfId="1" applyFont="1" applyFill="1" applyBorder="1" applyAlignment="1">
      <alignment horizontal="left" vertical="center"/>
    </xf>
    <xf numFmtId="41" fontId="21" fillId="0" borderId="0" xfId="1" applyFont="1" applyFill="1" applyAlignment="1">
      <alignment vertical="center"/>
    </xf>
    <xf numFmtId="185" fontId="21" fillId="0" borderId="0" xfId="0" applyNumberFormat="1" applyFont="1" applyFill="1" applyAlignment="1">
      <alignment vertical="center"/>
    </xf>
    <xf numFmtId="181" fontId="21" fillId="0" borderId="0" xfId="0" applyNumberFormat="1" applyFont="1" applyFill="1" applyBorder="1" applyAlignment="1">
      <alignment vertical="center"/>
    </xf>
    <xf numFmtId="49" fontId="16" fillId="4" borderId="14" xfId="0" applyNumberFormat="1" applyFont="1" applyFill="1" applyBorder="1" applyAlignment="1">
      <alignment horizontal="left" vertical="center"/>
    </xf>
    <xf numFmtId="49" fontId="16" fillId="4" borderId="0" xfId="0" applyNumberFormat="1" applyFont="1" applyFill="1" applyBorder="1" applyAlignment="1">
      <alignment horizontal="center" vertical="center"/>
    </xf>
    <xf numFmtId="49" fontId="16" fillId="4" borderId="0" xfId="0" applyNumberFormat="1" applyFont="1" applyFill="1" applyBorder="1" applyAlignment="1">
      <alignment vertical="center"/>
    </xf>
    <xf numFmtId="178" fontId="16" fillId="2" borderId="0" xfId="1" applyNumberFormat="1" applyFont="1" applyFill="1" applyBorder="1" applyAlignment="1">
      <alignment horizontal="right" vertical="center"/>
    </xf>
    <xf numFmtId="49" fontId="16" fillId="2" borderId="0" xfId="0" applyNumberFormat="1" applyFont="1" applyFill="1" applyBorder="1" applyAlignment="1">
      <alignment horizontal="center" vertical="center"/>
    </xf>
    <xf numFmtId="178" fontId="16" fillId="2" borderId="0" xfId="1" applyNumberFormat="1" applyFont="1" applyFill="1" applyBorder="1" applyAlignment="1">
      <alignment vertical="center"/>
    </xf>
    <xf numFmtId="49" fontId="16" fillId="2" borderId="0" xfId="0" applyNumberFormat="1" applyFont="1" applyFill="1" applyBorder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10" fontId="16" fillId="0" borderId="0" xfId="0" applyNumberFormat="1" applyFont="1" applyFill="1" applyBorder="1" applyAlignment="1">
      <alignment vertical="center"/>
    </xf>
    <xf numFmtId="49" fontId="16" fillId="2" borderId="0" xfId="1" applyNumberFormat="1" applyFont="1" applyFill="1" applyBorder="1" applyAlignment="1">
      <alignment vertical="center"/>
    </xf>
    <xf numFmtId="180" fontId="16" fillId="2" borderId="0" xfId="1" applyNumberFormat="1" applyFont="1" applyFill="1" applyBorder="1" applyAlignment="1">
      <alignment horizontal="right" vertical="center"/>
    </xf>
    <xf numFmtId="179" fontId="16" fillId="2" borderId="12" xfId="1" applyNumberFormat="1" applyFont="1" applyFill="1" applyBorder="1" applyAlignment="1">
      <alignment vertical="center"/>
    </xf>
    <xf numFmtId="0" fontId="33" fillId="0" borderId="0" xfId="7" applyFont="1" applyAlignment="1">
      <alignment vertical="center"/>
    </xf>
    <xf numFmtId="41" fontId="33" fillId="0" borderId="0" xfId="8" applyFont="1" applyFill="1" applyAlignment="1"/>
    <xf numFmtId="0" fontId="33" fillId="0" borderId="0" xfId="7" applyFont="1"/>
    <xf numFmtId="0" fontId="33" fillId="0" borderId="0" xfId="7" applyFont="1" applyAlignment="1">
      <alignment horizontal="right" vertical="center"/>
    </xf>
    <xf numFmtId="0" fontId="33" fillId="0" borderId="3" xfId="7" applyFont="1" applyBorder="1"/>
    <xf numFmtId="41" fontId="13" fillId="0" borderId="9" xfId="8" applyFont="1" applyFill="1" applyBorder="1" applyAlignment="1">
      <alignment horizontal="right" vertical="center"/>
    </xf>
    <xf numFmtId="41" fontId="13" fillId="0" borderId="9" xfId="4" applyFont="1" applyFill="1" applyBorder="1" applyAlignment="1">
      <alignment horizontal="right" vertical="center"/>
    </xf>
    <xf numFmtId="0" fontId="33" fillId="0" borderId="0" xfId="7" applyFont="1" applyFill="1"/>
    <xf numFmtId="41" fontId="13" fillId="13" borderId="9" xfId="4" applyFont="1" applyFill="1" applyBorder="1" applyAlignment="1">
      <alignment horizontal="center" vertical="center"/>
    </xf>
    <xf numFmtId="41" fontId="33" fillId="0" borderId="4" xfId="8" applyFont="1" applyBorder="1" applyAlignment="1">
      <alignment horizontal="center" vertical="center"/>
    </xf>
    <xf numFmtId="41" fontId="35" fillId="0" borderId="9" xfId="8" applyFont="1" applyBorder="1" applyAlignment="1">
      <alignment horizontal="center" vertical="center"/>
    </xf>
    <xf numFmtId="41" fontId="13" fillId="0" borderId="9" xfId="8" applyFont="1" applyFill="1" applyBorder="1" applyAlignment="1">
      <alignment horizontal="center" vertical="center"/>
    </xf>
    <xf numFmtId="0" fontId="33" fillId="14" borderId="9" xfId="7" applyFont="1" applyFill="1" applyBorder="1" applyAlignment="1">
      <alignment horizontal="center" vertical="center"/>
    </xf>
    <xf numFmtId="0" fontId="33" fillId="0" borderId="9" xfId="7" applyFont="1" applyFill="1" applyBorder="1" applyAlignment="1">
      <alignment horizontal="center" vertical="center"/>
    </xf>
    <xf numFmtId="49" fontId="26" fillId="2" borderId="0" xfId="0" applyNumberFormat="1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/>
    </xf>
    <xf numFmtId="181" fontId="26" fillId="2" borderId="12" xfId="0" applyNumberFormat="1" applyFont="1" applyFill="1" applyBorder="1" applyAlignment="1">
      <alignment vertical="center"/>
    </xf>
    <xf numFmtId="41" fontId="36" fillId="0" borderId="9" xfId="4" applyFont="1" applyFill="1" applyBorder="1" applyAlignment="1">
      <alignment horizontal="right" vertical="center"/>
    </xf>
    <xf numFmtId="41" fontId="36" fillId="0" borderId="9" xfId="8" applyFont="1" applyFill="1" applyBorder="1" applyAlignment="1">
      <alignment horizontal="center" vertical="center"/>
    </xf>
    <xf numFmtId="41" fontId="36" fillId="0" borderId="9" xfId="8" applyFont="1" applyFill="1" applyBorder="1" applyAlignment="1">
      <alignment horizontal="right" vertical="center"/>
    </xf>
    <xf numFmtId="0" fontId="33" fillId="0" borderId="0" xfId="7" applyFont="1" applyFill="1" applyAlignment="1">
      <alignment vertical="center"/>
    </xf>
    <xf numFmtId="41" fontId="33" fillId="0" borderId="9" xfId="8" applyFont="1" applyFill="1" applyBorder="1" applyAlignment="1">
      <alignment horizontal="center" vertical="center"/>
    </xf>
    <xf numFmtId="41" fontId="36" fillId="0" borderId="9" xfId="4" applyFont="1" applyFill="1" applyBorder="1" applyAlignment="1">
      <alignment horizontal="center" vertical="center"/>
    </xf>
    <xf numFmtId="1" fontId="13" fillId="0" borderId="9" xfId="4" applyNumberFormat="1" applyFont="1" applyFill="1" applyBorder="1" applyAlignment="1">
      <alignment horizontal="right" vertical="center"/>
    </xf>
    <xf numFmtId="41" fontId="13" fillId="0" borderId="9" xfId="4" applyFont="1" applyFill="1" applyBorder="1" applyAlignment="1">
      <alignment horizontal="center" vertical="center"/>
    </xf>
    <xf numFmtId="1" fontId="36" fillId="0" borderId="9" xfId="4" applyNumberFormat="1" applyFont="1" applyFill="1" applyBorder="1" applyAlignment="1">
      <alignment horizontal="right" vertical="center"/>
    </xf>
    <xf numFmtId="41" fontId="37" fillId="0" borderId="9" xfId="4" applyFont="1" applyFill="1" applyBorder="1" applyAlignment="1">
      <alignment horizontal="center" vertical="center"/>
    </xf>
    <xf numFmtId="41" fontId="34" fillId="0" borderId="9" xfId="4" applyFont="1" applyFill="1" applyBorder="1" applyAlignment="1">
      <alignment horizontal="center" vertical="center"/>
    </xf>
    <xf numFmtId="41" fontId="35" fillId="0" borderId="9" xfId="8" applyFont="1" applyFill="1" applyBorder="1" applyAlignment="1">
      <alignment horizontal="center" vertical="center"/>
    </xf>
    <xf numFmtId="41" fontId="33" fillId="0" borderId="9" xfId="8" applyFont="1" applyFill="1" applyBorder="1" applyAlignment="1"/>
    <xf numFmtId="0" fontId="33" fillId="0" borderId="9" xfId="7" applyFont="1" applyFill="1" applyBorder="1"/>
    <xf numFmtId="0" fontId="20" fillId="0" borderId="14" xfId="0" applyFont="1" applyFill="1" applyBorder="1" applyAlignment="1">
      <alignment vertical="center" wrapText="1"/>
    </xf>
    <xf numFmtId="0" fontId="33" fillId="0" borderId="8" xfId="7" applyFont="1" applyBorder="1" applyAlignment="1">
      <alignment horizontal="center" vertical="center" wrapText="1"/>
    </xf>
    <xf numFmtId="0" fontId="33" fillId="0" borderId="9" xfId="7" applyFont="1" applyBorder="1" applyAlignment="1">
      <alignment horizontal="center" vertical="center"/>
    </xf>
    <xf numFmtId="41" fontId="33" fillId="0" borderId="0" xfId="1" applyFont="1"/>
    <xf numFmtId="41" fontId="33" fillId="0" borderId="0" xfId="1" applyFont="1" applyFill="1"/>
    <xf numFmtId="41" fontId="33" fillId="0" borderId="0" xfId="1" applyFont="1" applyAlignment="1">
      <alignment vertical="center"/>
    </xf>
    <xf numFmtId="41" fontId="16" fillId="0" borderId="0" xfId="4" applyFont="1" applyFill="1" applyBorder="1" applyAlignment="1">
      <alignment horizontal="right" vertical="center"/>
    </xf>
    <xf numFmtId="184" fontId="16" fillId="0" borderId="0" xfId="1" applyNumberFormat="1" applyFont="1" applyFill="1" applyBorder="1" applyAlignment="1">
      <alignment horizontal="right" vertical="center"/>
    </xf>
    <xf numFmtId="41" fontId="16" fillId="0" borderId="0" xfId="1" quotePrefix="1" applyFont="1" applyFill="1" applyBorder="1" applyAlignment="1">
      <alignment horizontal="right" vertical="center"/>
    </xf>
    <xf numFmtId="0" fontId="16" fillId="15" borderId="14" xfId="0" applyFont="1" applyFill="1" applyBorder="1" applyAlignment="1">
      <alignment vertical="center"/>
    </xf>
    <xf numFmtId="0" fontId="16" fillId="15" borderId="5" xfId="0" applyFont="1" applyFill="1" applyBorder="1" applyAlignment="1">
      <alignment vertical="center"/>
    </xf>
    <xf numFmtId="41" fontId="16" fillId="3" borderId="13" xfId="1" applyNumberFormat="1" applyFont="1" applyFill="1" applyBorder="1" applyAlignment="1">
      <alignment vertical="center"/>
    </xf>
    <xf numFmtId="41" fontId="16" fillId="15" borderId="2" xfId="1" applyFont="1" applyFill="1" applyBorder="1" applyAlignment="1">
      <alignment vertical="center"/>
    </xf>
    <xf numFmtId="0" fontId="16" fillId="15" borderId="6" xfId="0" applyFont="1" applyFill="1" applyBorder="1" applyAlignment="1">
      <alignment vertical="center"/>
    </xf>
    <xf numFmtId="0" fontId="18" fillId="4" borderId="5" xfId="0" applyFont="1" applyFill="1" applyBorder="1" applyAlignment="1">
      <alignment vertical="center"/>
    </xf>
    <xf numFmtId="0" fontId="16" fillId="4" borderId="0" xfId="0" quotePrefix="1" applyFont="1" applyFill="1" applyBorder="1" applyAlignment="1">
      <alignment vertical="center"/>
    </xf>
    <xf numFmtId="41" fontId="20" fillId="4" borderId="0" xfId="1" applyFont="1" applyFill="1" applyBorder="1" applyAlignment="1">
      <alignment vertical="center"/>
    </xf>
    <xf numFmtId="9" fontId="16" fillId="4" borderId="0" xfId="0" quotePrefix="1" applyNumberFormat="1" applyFont="1" applyFill="1" applyBorder="1" applyAlignment="1">
      <alignment horizontal="center" vertical="center"/>
    </xf>
    <xf numFmtId="9" fontId="16" fillId="4" borderId="0" xfId="0" applyNumberFormat="1" applyFont="1" applyFill="1" applyBorder="1" applyAlignment="1">
      <alignment vertical="center"/>
    </xf>
    <xf numFmtId="0" fontId="16" fillId="4" borderId="0" xfId="0" applyNumberFormat="1" applyFont="1" applyFill="1" applyBorder="1" applyAlignment="1">
      <alignment horizontal="center" vertical="center"/>
    </xf>
    <xf numFmtId="9" fontId="16" fillId="4" borderId="0" xfId="0" applyNumberFormat="1" applyFont="1" applyFill="1" applyBorder="1" applyAlignment="1">
      <alignment horizontal="center" vertical="center"/>
    </xf>
    <xf numFmtId="0" fontId="16" fillId="4" borderId="14" xfId="3" applyFont="1" applyFill="1" applyBorder="1" applyAlignment="1">
      <alignment vertical="center"/>
    </xf>
    <xf numFmtId="41" fontId="16" fillId="4" borderId="0" xfId="4" applyFont="1" applyFill="1" applyBorder="1" applyAlignment="1">
      <alignment vertical="center"/>
    </xf>
    <xf numFmtId="0" fontId="16" fillId="4" borderId="0" xfId="3" applyFont="1" applyFill="1" applyBorder="1" applyAlignment="1">
      <alignment vertical="center"/>
    </xf>
    <xf numFmtId="0" fontId="16" fillId="4" borderId="0" xfId="3" quotePrefix="1" applyFont="1" applyFill="1" applyBorder="1" applyAlignment="1">
      <alignment vertical="center"/>
    </xf>
    <xf numFmtId="176" fontId="16" fillId="4" borderId="12" xfId="3" applyNumberFormat="1" applyFont="1" applyFill="1" applyBorder="1" applyAlignment="1">
      <alignment vertical="center"/>
    </xf>
    <xf numFmtId="0" fontId="16" fillId="4" borderId="0" xfId="3" quotePrefix="1" applyNumberFormat="1" applyFont="1" applyFill="1" applyBorder="1" applyAlignment="1">
      <alignment vertical="center"/>
    </xf>
    <xf numFmtId="49" fontId="20" fillId="4" borderId="6" xfId="1" applyNumberFormat="1" applyFont="1" applyFill="1" applyBorder="1" applyAlignment="1">
      <alignment vertical="center"/>
    </xf>
    <xf numFmtId="49" fontId="20" fillId="4" borderId="6" xfId="0" applyNumberFormat="1" applyFont="1" applyFill="1" applyBorder="1" applyAlignment="1">
      <alignment vertical="center"/>
    </xf>
    <xf numFmtId="49" fontId="20" fillId="4" borderId="6" xfId="0" quotePrefix="1" applyNumberFormat="1" applyFont="1" applyFill="1" applyBorder="1" applyAlignment="1">
      <alignment vertical="center"/>
    </xf>
    <xf numFmtId="49" fontId="16" fillId="4" borderId="6" xfId="0" quotePrefix="1" applyNumberFormat="1" applyFont="1" applyFill="1" applyBorder="1" applyAlignment="1">
      <alignment vertical="center"/>
    </xf>
    <xf numFmtId="0" fontId="16" fillId="4" borderId="6" xfId="0" applyNumberFormat="1" applyFont="1" applyFill="1" applyBorder="1" applyAlignment="1">
      <alignment vertical="center"/>
    </xf>
    <xf numFmtId="41" fontId="16" fillId="4" borderId="7" xfId="0" applyNumberFormat="1" applyFont="1" applyFill="1" applyBorder="1" applyAlignment="1">
      <alignment vertical="center"/>
    </xf>
    <xf numFmtId="49" fontId="20" fillId="4" borderId="0" xfId="0" applyNumberFormat="1" applyFont="1" applyFill="1" applyBorder="1" applyAlignment="1">
      <alignment vertical="center"/>
    </xf>
    <xf numFmtId="49" fontId="20" fillId="4" borderId="0" xfId="0" quotePrefix="1" applyNumberFormat="1" applyFont="1" applyFill="1" applyBorder="1" applyAlignment="1">
      <alignment vertical="center"/>
    </xf>
    <xf numFmtId="49" fontId="16" fillId="4" borderId="0" xfId="0" quotePrefix="1" applyNumberFormat="1" applyFont="1" applyFill="1" applyBorder="1" applyAlignment="1">
      <alignment vertical="center"/>
    </xf>
    <xf numFmtId="0" fontId="25" fillId="4" borderId="14" xfId="0" applyFont="1" applyFill="1" applyBorder="1" applyAlignment="1">
      <alignment vertical="center"/>
    </xf>
    <xf numFmtId="176" fontId="16" fillId="4" borderId="12" xfId="1" applyNumberFormat="1" applyFont="1" applyFill="1" applyBorder="1" applyAlignment="1">
      <alignment vertical="center"/>
    </xf>
    <xf numFmtId="178" fontId="16" fillId="4" borderId="0" xfId="4" applyNumberFormat="1" applyFont="1" applyFill="1" applyBorder="1" applyAlignment="1">
      <alignment vertical="center"/>
    </xf>
    <xf numFmtId="41" fontId="16" fillId="4" borderId="0" xfId="4" applyFont="1" applyFill="1" applyBorder="1" applyAlignment="1">
      <alignment horizontal="right" vertical="center"/>
    </xf>
    <xf numFmtId="0" fontId="20" fillId="4" borderId="0" xfId="4" applyNumberFormat="1" applyFont="1" applyFill="1" applyBorder="1" applyAlignment="1">
      <alignment vertical="center"/>
    </xf>
    <xf numFmtId="0" fontId="16" fillId="4" borderId="0" xfId="4" applyNumberFormat="1" applyFont="1" applyFill="1" applyBorder="1" applyAlignment="1">
      <alignment vertical="center"/>
    </xf>
    <xf numFmtId="176" fontId="16" fillId="0" borderId="14" xfId="0" applyNumberFormat="1" applyFont="1" applyFill="1" applyBorder="1" applyAlignment="1">
      <alignment horizontal="center" vertical="center" wrapText="1"/>
    </xf>
    <xf numFmtId="41" fontId="0" fillId="0" borderId="13" xfId="1" quotePrefix="1" applyFont="1" applyFill="1" applyBorder="1" applyAlignment="1">
      <alignment vertical="center"/>
    </xf>
    <xf numFmtId="178" fontId="16" fillId="15" borderId="0" xfId="1" applyNumberFormat="1" applyFont="1" applyFill="1" applyBorder="1" applyAlignment="1">
      <alignment horizontal="right" vertical="center"/>
    </xf>
    <xf numFmtId="49" fontId="16" fillId="15" borderId="0" xfId="0" applyNumberFormat="1" applyFont="1" applyFill="1" applyBorder="1" applyAlignment="1">
      <alignment horizontal="center" vertical="center"/>
    </xf>
    <xf numFmtId="0" fontId="16" fillId="15" borderId="0" xfId="0" applyNumberFormat="1" applyFont="1" applyFill="1" applyBorder="1" applyAlignment="1">
      <alignment horizontal="center" vertical="center"/>
    </xf>
    <xf numFmtId="181" fontId="16" fillId="15" borderId="12" xfId="1" applyNumberFormat="1" applyFont="1" applyFill="1" applyBorder="1" applyAlignment="1">
      <alignment vertical="center"/>
    </xf>
    <xf numFmtId="49" fontId="16" fillId="15" borderId="0" xfId="1" applyNumberFormat="1" applyFont="1" applyFill="1" applyBorder="1" applyAlignment="1">
      <alignment horizontal="center" vertical="center"/>
    </xf>
    <xf numFmtId="41" fontId="16" fillId="4" borderId="0" xfId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76" fontId="16" fillId="0" borderId="13" xfId="0" applyNumberFormat="1" applyFont="1" applyFill="1" applyBorder="1" applyAlignment="1">
      <alignment horizontal="center" vertical="center" wrapText="1"/>
    </xf>
    <xf numFmtId="10" fontId="16" fillId="0" borderId="13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8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center"/>
    </xf>
    <xf numFmtId="41" fontId="16" fillId="3" borderId="13" xfId="1" applyFont="1" applyFill="1" applyBorder="1" applyAlignment="1">
      <alignment horizontal="center" vertical="center" wrapText="1"/>
    </xf>
    <xf numFmtId="41" fontId="16" fillId="0" borderId="0" xfId="1" applyFont="1" applyFill="1" applyBorder="1" applyAlignment="1">
      <alignment horizontal="center" vertical="center"/>
    </xf>
    <xf numFmtId="41" fontId="16" fillId="3" borderId="9" xfId="1" applyFont="1" applyFill="1" applyBorder="1" applyAlignment="1">
      <alignment vertical="center"/>
    </xf>
    <xf numFmtId="10" fontId="16" fillId="0" borderId="13" xfId="0" applyNumberFormat="1" applyFont="1" applyFill="1" applyBorder="1" applyAlignment="1">
      <alignment horizontal="center" vertical="center"/>
    </xf>
    <xf numFmtId="41" fontId="16" fillId="3" borderId="2" xfId="1" applyFont="1" applyFill="1" applyBorder="1" applyAlignment="1">
      <alignment vertical="center" wrapText="1"/>
    </xf>
    <xf numFmtId="41" fontId="16" fillId="3" borderId="13" xfId="1" applyFont="1" applyFill="1" applyBorder="1" applyAlignment="1">
      <alignment vertical="center" wrapText="1"/>
    </xf>
    <xf numFmtId="176" fontId="16" fillId="0" borderId="2" xfId="1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10" fontId="16" fillId="0" borderId="12" xfId="0" applyNumberFormat="1" applyFont="1" applyFill="1" applyBorder="1" applyAlignment="1">
      <alignment horizontal="center" vertical="center" wrapText="1"/>
    </xf>
    <xf numFmtId="41" fontId="16" fillId="3" borderId="2" xfId="1" applyFont="1" applyFill="1" applyBorder="1" applyAlignment="1">
      <alignment vertical="center"/>
    </xf>
    <xf numFmtId="41" fontId="16" fillId="3" borderId="13" xfId="1" applyFont="1" applyFill="1" applyBorder="1" applyAlignment="1">
      <alignment vertical="center"/>
    </xf>
    <xf numFmtId="41" fontId="16" fillId="3" borderId="8" xfId="1" applyFont="1" applyFill="1" applyBorder="1" applyAlignment="1">
      <alignment vertical="center"/>
    </xf>
    <xf numFmtId="10" fontId="16" fillId="0" borderId="13" xfId="1" applyNumberFormat="1" applyFont="1" applyFill="1" applyBorder="1" applyAlignment="1">
      <alignment horizontal="center" vertical="center" wrapText="1"/>
    </xf>
    <xf numFmtId="41" fontId="16" fillId="3" borderId="8" xfId="1" applyFont="1" applyFill="1" applyBorder="1" applyAlignment="1">
      <alignment vertical="center" wrapText="1"/>
    </xf>
    <xf numFmtId="10" fontId="16" fillId="0" borderId="2" xfId="1" applyNumberFormat="1" applyFont="1" applyFill="1" applyBorder="1" applyAlignment="1">
      <alignment horizontal="center" vertical="center" wrapText="1"/>
    </xf>
    <xf numFmtId="10" fontId="16" fillId="0" borderId="8" xfId="0" applyNumberFormat="1" applyFont="1" applyFill="1" applyBorder="1" applyAlignment="1">
      <alignment horizontal="center" vertical="center" wrapText="1"/>
    </xf>
    <xf numFmtId="41" fontId="16" fillId="7" borderId="13" xfId="1" applyFont="1" applyFill="1" applyBorder="1" applyAlignment="1">
      <alignment vertical="center"/>
    </xf>
    <xf numFmtId="41" fontId="16" fillId="7" borderId="8" xfId="1" applyFont="1" applyFill="1" applyBorder="1" applyAlignment="1">
      <alignment vertical="center"/>
    </xf>
    <xf numFmtId="176" fontId="16" fillId="0" borderId="13" xfId="1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 wrapText="1"/>
    </xf>
    <xf numFmtId="176" fontId="16" fillId="0" borderId="8" xfId="1" applyNumberFormat="1" applyFont="1" applyFill="1" applyBorder="1" applyAlignment="1">
      <alignment horizontal="center" vertical="center"/>
    </xf>
    <xf numFmtId="10" fontId="16" fillId="0" borderId="8" xfId="0" applyNumberFormat="1" applyFont="1" applyFill="1" applyBorder="1" applyAlignment="1">
      <alignment horizontal="center" vertical="center"/>
    </xf>
    <xf numFmtId="10" fontId="16" fillId="0" borderId="8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vertical="center" wrapText="1"/>
    </xf>
    <xf numFmtId="41" fontId="16" fillId="7" borderId="8" xfId="1" applyFont="1" applyFill="1" applyBorder="1" applyAlignment="1">
      <alignment vertical="center" wrapText="1"/>
    </xf>
    <xf numFmtId="3" fontId="16" fillId="0" borderId="13" xfId="1" applyNumberFormat="1" applyFont="1" applyFill="1" applyBorder="1" applyAlignment="1">
      <alignment horizontal="center" vertical="center"/>
    </xf>
    <xf numFmtId="176" fontId="20" fillId="0" borderId="13" xfId="1" applyNumberFormat="1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center" vertical="center"/>
    </xf>
    <xf numFmtId="10" fontId="16" fillId="0" borderId="13" xfId="2" applyNumberFormat="1" applyFont="1" applyFill="1" applyBorder="1" applyAlignment="1">
      <alignment horizontal="center" vertical="center"/>
    </xf>
    <xf numFmtId="190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176" fontId="16" fillId="0" borderId="8" xfId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0" fontId="16" fillId="0" borderId="0" xfId="0" applyNumberFormat="1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/>
    </xf>
    <xf numFmtId="186" fontId="16" fillId="0" borderId="13" xfId="0" applyNumberFormat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center" vertical="center"/>
    </xf>
    <xf numFmtId="41" fontId="16" fillId="0" borderId="8" xfId="1" applyFont="1" applyFill="1" applyBorder="1" applyAlignment="1">
      <alignment horizontal="center" vertical="center"/>
    </xf>
    <xf numFmtId="41" fontId="16" fillId="0" borderId="13" xfId="1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41" fontId="16" fillId="3" borderId="13" xfId="1" applyFont="1" applyFill="1" applyBorder="1" applyAlignment="1">
      <alignment vertical="center" wrapText="1"/>
    </xf>
    <xf numFmtId="41" fontId="16" fillId="3" borderId="2" xfId="1" applyFont="1" applyFill="1" applyBorder="1" applyAlignment="1">
      <alignment vertical="center" wrapText="1"/>
    </xf>
    <xf numFmtId="176" fontId="16" fillId="0" borderId="8" xfId="1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10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/>
    </xf>
    <xf numFmtId="0" fontId="26" fillId="0" borderId="0" xfId="0" applyNumberFormat="1" applyFont="1" applyFill="1" applyBorder="1" applyAlignment="1">
      <alignment vertical="center"/>
    </xf>
    <xf numFmtId="179" fontId="26" fillId="0" borderId="12" xfId="1" applyNumberFormat="1" applyFont="1" applyFill="1" applyBorder="1" applyAlignment="1">
      <alignment vertical="center"/>
    </xf>
    <xf numFmtId="49" fontId="16" fillId="4" borderId="14" xfId="0" applyNumberFormat="1" applyFont="1" applyFill="1" applyBorder="1" applyAlignment="1">
      <alignment horizontal="left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/>
    </xf>
    <xf numFmtId="41" fontId="38" fillId="0" borderId="9" xfId="8" applyFont="1" applyFill="1" applyBorder="1" applyAlignment="1">
      <alignment vertical="center"/>
    </xf>
    <xf numFmtId="41" fontId="33" fillId="0" borderId="9" xfId="8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0" fontId="33" fillId="0" borderId="4" xfId="7" applyFont="1" applyBorder="1" applyAlignment="1">
      <alignment horizontal="center" vertical="center"/>
    </xf>
    <xf numFmtId="0" fontId="38" fillId="14" borderId="4" xfId="7" applyFont="1" applyFill="1" applyBorder="1" applyAlignment="1">
      <alignment horizontal="center" vertical="center" wrapText="1"/>
    </xf>
    <xf numFmtId="0" fontId="38" fillId="0" borderId="9" xfId="7" applyFont="1" applyBorder="1" applyAlignment="1">
      <alignment horizontal="center" vertical="center"/>
    </xf>
    <xf numFmtId="0" fontId="38" fillId="14" borderId="3" xfId="7" applyFont="1" applyFill="1" applyBorder="1" applyAlignment="1">
      <alignment horizontal="center" vertical="center"/>
    </xf>
    <xf numFmtId="0" fontId="38" fillId="14" borderId="9" xfId="7" applyFont="1" applyFill="1" applyBorder="1" applyAlignment="1">
      <alignment horizontal="center" vertical="center"/>
    </xf>
    <xf numFmtId="0" fontId="38" fillId="14" borderId="9" xfId="7" applyFont="1" applyFill="1" applyBorder="1" applyAlignment="1">
      <alignment horizontal="center" vertical="center" wrapText="1"/>
    </xf>
    <xf numFmtId="41" fontId="39" fillId="0" borderId="9" xfId="8" applyFont="1" applyFill="1" applyBorder="1" applyAlignment="1">
      <alignment horizontal="right" vertical="center"/>
    </xf>
    <xf numFmtId="41" fontId="36" fillId="12" borderId="9" xfId="4" applyFont="1" applyFill="1" applyBorder="1" applyAlignment="1">
      <alignment horizontal="center" vertical="center"/>
    </xf>
    <xf numFmtId="41" fontId="40" fillId="0" borderId="0" xfId="1" applyFont="1"/>
    <xf numFmtId="41" fontId="40" fillId="0" borderId="0" xfId="1" applyFont="1" applyFill="1"/>
    <xf numFmtId="41" fontId="41" fillId="0" borderId="0" xfId="8" applyFont="1" applyFill="1" applyAlignment="1"/>
    <xf numFmtId="41" fontId="42" fillId="0" borderId="0" xfId="1" applyFont="1" applyFill="1" applyAlignment="1">
      <alignment horizontal="center" vertical="center"/>
    </xf>
    <xf numFmtId="41" fontId="42" fillId="0" borderId="0" xfId="1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38" fillId="14" borderId="3" xfId="7" applyFont="1" applyFill="1" applyBorder="1" applyAlignment="1">
      <alignment horizontal="center" vertical="center"/>
    </xf>
    <xf numFmtId="0" fontId="33" fillId="14" borderId="4" xfId="7" applyFont="1" applyFill="1" applyBorder="1" applyAlignment="1">
      <alignment horizontal="center" vertical="center"/>
    </xf>
    <xf numFmtId="0" fontId="38" fillId="14" borderId="5" xfId="7" applyFont="1" applyFill="1" applyBorder="1" applyAlignment="1">
      <alignment horizontal="center" vertical="center"/>
    </xf>
    <xf numFmtId="0" fontId="33" fillId="14" borderId="15" xfId="7" applyFont="1" applyFill="1" applyBorder="1" applyAlignment="1">
      <alignment horizontal="center" vertical="center"/>
    </xf>
    <xf numFmtId="41" fontId="16" fillId="3" borderId="9" xfId="1" applyFont="1" applyFill="1" applyBorder="1" applyAlignment="1">
      <alignment vertical="center"/>
    </xf>
    <xf numFmtId="10" fontId="16" fillId="0" borderId="13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44" fillId="0" borderId="10" xfId="0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0" fontId="21" fillId="0" borderId="17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1" fillId="0" borderId="19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41" fontId="21" fillId="0" borderId="2" xfId="0" applyNumberFormat="1" applyFont="1" applyBorder="1" applyAlignment="1">
      <alignment vertical="center" wrapText="1"/>
    </xf>
    <xf numFmtId="41" fontId="21" fillId="0" borderId="2" xfId="1" applyFont="1" applyBorder="1" applyAlignment="1">
      <alignment vertical="center" wrapText="1"/>
    </xf>
    <xf numFmtId="176" fontId="16" fillId="0" borderId="2" xfId="1" applyNumberFormat="1" applyFont="1" applyBorder="1" applyAlignment="1">
      <alignment vertical="center" wrapText="1"/>
    </xf>
    <xf numFmtId="10" fontId="21" fillId="0" borderId="20" xfId="0" applyNumberFormat="1" applyFont="1" applyBorder="1" applyAlignment="1">
      <alignment vertical="center" wrapText="1"/>
    </xf>
    <xf numFmtId="0" fontId="21" fillId="0" borderId="19" xfId="0" applyFont="1" applyBorder="1"/>
    <xf numFmtId="0" fontId="21" fillId="0" borderId="13" xfId="0" applyFont="1" applyBorder="1"/>
    <xf numFmtId="41" fontId="21" fillId="0" borderId="13" xfId="0" applyNumberFormat="1" applyFont="1" applyBorder="1" applyAlignment="1">
      <alignment vertical="center" wrapText="1"/>
    </xf>
    <xf numFmtId="41" fontId="21" fillId="0" borderId="13" xfId="1" applyFont="1" applyBorder="1" applyAlignment="1">
      <alignment vertical="center" wrapText="1"/>
    </xf>
    <xf numFmtId="176" fontId="16" fillId="0" borderId="13" xfId="1" applyNumberFormat="1" applyFont="1" applyBorder="1" applyAlignment="1">
      <alignment vertical="center" wrapText="1"/>
    </xf>
    <xf numFmtId="10" fontId="21" fillId="0" borderId="22" xfId="0" applyNumberFormat="1" applyFont="1" applyBorder="1" applyAlignment="1">
      <alignment vertical="center" wrapText="1"/>
    </xf>
    <xf numFmtId="0" fontId="0" fillId="0" borderId="14" xfId="0" applyBorder="1"/>
    <xf numFmtId="0" fontId="0" fillId="0" borderId="13" xfId="0" applyBorder="1"/>
    <xf numFmtId="0" fontId="0" fillId="0" borderId="22" xfId="0" applyBorder="1"/>
    <xf numFmtId="0" fontId="0" fillId="0" borderId="6" xfId="0" applyBorder="1"/>
    <xf numFmtId="0" fontId="0" fillId="0" borderId="10" xfId="0" applyBorder="1"/>
    <xf numFmtId="0" fontId="0" fillId="0" borderId="8" xfId="0" applyBorder="1"/>
    <xf numFmtId="0" fontId="0" fillId="0" borderId="21" xfId="0" applyBorder="1"/>
    <xf numFmtId="0" fontId="21" fillId="0" borderId="18" xfId="0" applyFont="1" applyBorder="1"/>
    <xf numFmtId="0" fontId="0" fillId="0" borderId="1" xfId="0" applyBorder="1"/>
    <xf numFmtId="0" fontId="0" fillId="0" borderId="0" xfId="0" applyBorder="1"/>
    <xf numFmtId="0" fontId="21" fillId="0" borderId="0" xfId="0" applyFont="1" applyBorder="1"/>
    <xf numFmtId="0" fontId="21" fillId="0" borderId="0" xfId="0" applyFont="1" applyBorder="1" applyAlignment="1">
      <alignment horizontal="center" vertical="center"/>
    </xf>
    <xf numFmtId="41" fontId="21" fillId="0" borderId="0" xfId="1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44" fillId="0" borderId="23" xfId="0" applyFont="1" applyBorder="1" applyAlignment="1">
      <alignment horizontal="center" vertical="center"/>
    </xf>
    <xf numFmtId="0" fontId="21" fillId="0" borderId="24" xfId="0" applyFont="1" applyBorder="1"/>
    <xf numFmtId="0" fontId="21" fillId="0" borderId="14" xfId="0" applyFont="1" applyBorder="1"/>
    <xf numFmtId="0" fontId="21" fillId="0" borderId="8" xfId="0" applyFont="1" applyBorder="1"/>
    <xf numFmtId="0" fontId="21" fillId="0" borderId="0" xfId="0" applyFont="1"/>
    <xf numFmtId="0" fontId="0" fillId="0" borderId="19" xfId="0" applyBorder="1"/>
    <xf numFmtId="0" fontId="21" fillId="0" borderId="19" xfId="0" applyFont="1" applyBorder="1" applyAlignment="1">
      <alignment vertical="center" wrapText="1"/>
    </xf>
    <xf numFmtId="0" fontId="21" fillId="0" borderId="13" xfId="0" applyFont="1" applyBorder="1" applyAlignment="1">
      <alignment vertical="center" wrapText="1"/>
    </xf>
    <xf numFmtId="0" fontId="0" fillId="0" borderId="12" xfId="0" applyBorder="1"/>
    <xf numFmtId="176" fontId="16" fillId="0" borderId="13" xfId="1" applyNumberFormat="1" applyFont="1" applyFill="1" applyBorder="1" applyAlignment="1">
      <alignment horizontal="center" vertical="center" wrapText="1"/>
    </xf>
    <xf numFmtId="41" fontId="16" fillId="0" borderId="0" xfId="1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center" vertical="center"/>
    </xf>
    <xf numFmtId="41" fontId="33" fillId="0" borderId="0" xfId="1" applyFont="1" applyFill="1" applyAlignment="1"/>
    <xf numFmtId="0" fontId="16" fillId="0" borderId="1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41" fontId="16" fillId="3" borderId="13" xfId="1" applyFont="1" applyFill="1" applyBorder="1" applyAlignment="1">
      <alignment vertical="center" wrapText="1"/>
    </xf>
    <xf numFmtId="41" fontId="16" fillId="3" borderId="8" xfId="1" applyFont="1" applyFill="1" applyBorder="1" applyAlignment="1">
      <alignment vertical="center" wrapText="1"/>
    </xf>
    <xf numFmtId="176" fontId="16" fillId="0" borderId="13" xfId="1" applyNumberFormat="1" applyFont="1" applyFill="1" applyBorder="1" applyAlignment="1">
      <alignment horizontal="center" vertical="center"/>
    </xf>
    <xf numFmtId="41" fontId="16" fillId="3" borderId="2" xfId="1" applyFont="1" applyFill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176" fontId="16" fillId="0" borderId="2" xfId="1" applyNumberFormat="1" applyFont="1" applyFill="1" applyBorder="1" applyAlignment="1">
      <alignment horizontal="center" vertical="center" wrapText="1"/>
    </xf>
    <xf numFmtId="176" fontId="16" fillId="0" borderId="8" xfId="1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center" vertical="center"/>
    </xf>
    <xf numFmtId="10" fontId="16" fillId="0" borderId="2" xfId="1" applyNumberFormat="1" applyFont="1" applyFill="1" applyBorder="1" applyAlignment="1">
      <alignment horizontal="center" vertical="center" wrapText="1"/>
    </xf>
    <xf numFmtId="10" fontId="16" fillId="0" borderId="8" xfId="1" applyNumberFormat="1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10" fontId="16" fillId="0" borderId="13" xfId="2" applyNumberFormat="1" applyFont="1" applyFill="1" applyBorder="1" applyAlignment="1">
      <alignment horizontal="center" vertical="center" wrapText="1"/>
    </xf>
    <xf numFmtId="41" fontId="16" fillId="3" borderId="9" xfId="1" applyFont="1" applyFill="1" applyBorder="1" applyAlignment="1">
      <alignment vertical="center"/>
    </xf>
    <xf numFmtId="10" fontId="16" fillId="0" borderId="13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3" fontId="16" fillId="0" borderId="13" xfId="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0" fontId="21" fillId="17" borderId="8" xfId="0" applyFont="1" applyFill="1" applyBorder="1" applyAlignment="1">
      <alignment vertical="center"/>
    </xf>
    <xf numFmtId="0" fontId="16" fillId="17" borderId="13" xfId="0" applyFont="1" applyFill="1" applyBorder="1" applyAlignment="1">
      <alignment horizontal="center" vertical="center" wrapText="1"/>
    </xf>
    <xf numFmtId="179" fontId="16" fillId="4" borderId="12" xfId="1" applyNumberFormat="1" applyFont="1" applyFill="1" applyBorder="1" applyAlignment="1">
      <alignment vertical="center"/>
    </xf>
    <xf numFmtId="0" fontId="16" fillId="17" borderId="14" xfId="0" applyFont="1" applyFill="1" applyBorder="1" applyAlignment="1">
      <alignment vertical="center"/>
    </xf>
    <xf numFmtId="49" fontId="16" fillId="17" borderId="14" xfId="0" applyNumberFormat="1" applyFont="1" applyFill="1" applyBorder="1" applyAlignment="1">
      <alignment horizontal="left" vertical="center"/>
    </xf>
    <xf numFmtId="178" fontId="45" fillId="0" borderId="0" xfId="1" applyNumberFormat="1" applyFont="1" applyFill="1" applyBorder="1" applyAlignment="1">
      <alignment vertical="center"/>
    </xf>
    <xf numFmtId="181" fontId="26" fillId="0" borderId="12" xfId="0" applyNumberFormat="1" applyFont="1" applyFill="1" applyBorder="1" applyAlignment="1">
      <alignment vertical="center"/>
    </xf>
    <xf numFmtId="0" fontId="16" fillId="17" borderId="5" xfId="0" applyFont="1" applyFill="1" applyBorder="1" applyAlignment="1">
      <alignment vertical="center"/>
    </xf>
    <xf numFmtId="9" fontId="16" fillId="0" borderId="0" xfId="1" applyNumberFormat="1" applyFont="1" applyFill="1" applyBorder="1" applyAlignment="1">
      <alignment horizontal="center" vertical="center"/>
    </xf>
    <xf numFmtId="41" fontId="16" fillId="15" borderId="13" xfId="1" applyFont="1" applyFill="1" applyBorder="1" applyAlignment="1">
      <alignment vertical="center"/>
    </xf>
    <xf numFmtId="41" fontId="16" fillId="15" borderId="8" xfId="1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41" fontId="16" fillId="3" borderId="13" xfId="1" applyFont="1" applyFill="1" applyBorder="1" applyAlignment="1">
      <alignment vertical="center" wrapText="1"/>
    </xf>
    <xf numFmtId="41" fontId="16" fillId="3" borderId="8" xfId="1" applyFont="1" applyFill="1" applyBorder="1" applyAlignment="1">
      <alignment vertical="center" wrapText="1"/>
    </xf>
    <xf numFmtId="41" fontId="16" fillId="3" borderId="2" xfId="1" applyFont="1" applyFill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41" fontId="16" fillId="3" borderId="2" xfId="1" applyFont="1" applyFill="1" applyBorder="1" applyAlignment="1">
      <alignment vertical="center"/>
    </xf>
    <xf numFmtId="176" fontId="16" fillId="0" borderId="8" xfId="1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0" fontId="16" fillId="17" borderId="12" xfId="0" applyFont="1" applyFill="1" applyBorder="1" applyAlignment="1">
      <alignment horizontal="center" vertical="center" wrapText="1"/>
    </xf>
    <xf numFmtId="0" fontId="16" fillId="17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 wrapText="1"/>
    </xf>
    <xf numFmtId="0" fontId="16" fillId="17" borderId="8" xfId="0" applyFont="1" applyFill="1" applyBorder="1" applyAlignment="1">
      <alignment horizontal="center" vertical="center" wrapText="1"/>
    </xf>
    <xf numFmtId="178" fontId="16" fillId="15" borderId="0" xfId="1" applyNumberFormat="1" applyFont="1" applyFill="1" applyBorder="1" applyAlignment="1">
      <alignment vertical="center"/>
    </xf>
    <xf numFmtId="49" fontId="16" fillId="15" borderId="0" xfId="0" applyNumberFormat="1" applyFont="1" applyFill="1" applyBorder="1" applyAlignment="1">
      <alignment vertical="center"/>
    </xf>
    <xf numFmtId="181" fontId="16" fillId="15" borderId="12" xfId="0" applyNumberFormat="1" applyFont="1" applyFill="1" applyBorder="1" applyAlignment="1">
      <alignment vertical="center"/>
    </xf>
    <xf numFmtId="0" fontId="16" fillId="17" borderId="13" xfId="0" applyFont="1" applyFill="1" applyBorder="1" applyAlignment="1">
      <alignment vertical="center" wrapText="1"/>
    </xf>
    <xf numFmtId="0" fontId="21" fillId="17" borderId="13" xfId="0" applyFont="1" applyFill="1" applyBorder="1" applyAlignment="1">
      <alignment vertical="center"/>
    </xf>
    <xf numFmtId="178" fontId="16" fillId="6" borderId="1" xfId="1" applyNumberFormat="1" applyFont="1" applyFill="1" applyBorder="1" applyAlignment="1">
      <alignment horizontal="right" vertical="center"/>
    </xf>
    <xf numFmtId="49" fontId="16" fillId="6" borderId="1" xfId="0" applyNumberFormat="1" applyFont="1" applyFill="1" applyBorder="1" applyAlignment="1">
      <alignment vertical="center"/>
    </xf>
    <xf numFmtId="181" fontId="16" fillId="6" borderId="11" xfId="1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0" fontId="16" fillId="0" borderId="13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vertical="center"/>
    </xf>
    <xf numFmtId="41" fontId="16" fillId="3" borderId="13" xfId="1" applyFont="1" applyFill="1" applyBorder="1" applyAlignment="1">
      <alignment vertical="center" wrapText="1"/>
    </xf>
    <xf numFmtId="176" fontId="16" fillId="0" borderId="13" xfId="1" applyNumberFormat="1" applyFont="1" applyFill="1" applyBorder="1" applyAlignment="1">
      <alignment horizontal="center" vertical="center"/>
    </xf>
    <xf numFmtId="41" fontId="16" fillId="3" borderId="2" xfId="1" applyFont="1" applyFill="1" applyBorder="1" applyAlignment="1">
      <alignment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176" fontId="16" fillId="0" borderId="13" xfId="1" applyNumberFormat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178" fontId="16" fillId="0" borderId="0" xfId="1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176" fontId="16" fillId="0" borderId="8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/>
    </xf>
    <xf numFmtId="176" fontId="16" fillId="0" borderId="13" xfId="0" applyNumberFormat="1" applyFont="1" applyFill="1" applyBorder="1" applyAlignment="1">
      <alignment horizontal="center" vertical="center" wrapText="1"/>
    </xf>
    <xf numFmtId="10" fontId="16" fillId="0" borderId="13" xfId="0" applyNumberFormat="1" applyFont="1" applyFill="1" applyBorder="1" applyAlignment="1">
      <alignment horizontal="center" vertical="center" wrapText="1"/>
    </xf>
    <xf numFmtId="41" fontId="16" fillId="3" borderId="13" xfId="1" applyFont="1" applyFill="1" applyBorder="1" applyAlignment="1">
      <alignment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178" fontId="22" fillId="0" borderId="0" xfId="1" applyNumberFormat="1" applyFont="1" applyFill="1" applyBorder="1" applyAlignment="1">
      <alignment vertical="center"/>
    </xf>
    <xf numFmtId="177" fontId="16" fillId="0" borderId="0" xfId="1" applyNumberFormat="1" applyFont="1" applyFill="1" applyBorder="1" applyAlignment="1">
      <alignment vertical="center"/>
    </xf>
    <xf numFmtId="41" fontId="16" fillId="3" borderId="13" xfId="1" applyNumberFormat="1" applyFont="1" applyFill="1" applyBorder="1" applyAlignment="1">
      <alignment vertical="center" wrapText="1"/>
    </xf>
    <xf numFmtId="41" fontId="33" fillId="0" borderId="9" xfId="1" applyFont="1" applyFill="1" applyBorder="1"/>
    <xf numFmtId="49" fontId="16" fillId="17" borderId="0" xfId="0" applyNumberFormat="1" applyFont="1" applyFill="1" applyBorder="1" applyAlignment="1">
      <alignment vertical="center"/>
    </xf>
    <xf numFmtId="0" fontId="38" fillId="14" borderId="4" xfId="7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41" fontId="13" fillId="0" borderId="0" xfId="1" applyFont="1" applyFill="1" applyAlignment="1">
      <alignment vertical="center"/>
    </xf>
    <xf numFmtId="0" fontId="44" fillId="0" borderId="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16" fillId="12" borderId="14" xfId="0" applyFont="1" applyFill="1" applyBorder="1" applyAlignment="1">
      <alignment horizontal="left" vertical="center"/>
    </xf>
    <xf numFmtId="41" fontId="16" fillId="12" borderId="12" xfId="1" applyFont="1" applyFill="1" applyBorder="1" applyAlignment="1">
      <alignment horizontal="right" vertical="center"/>
    </xf>
    <xf numFmtId="41" fontId="33" fillId="0" borderId="0" xfId="7" applyNumberFormat="1" applyFont="1" applyFill="1"/>
    <xf numFmtId="0" fontId="0" fillId="0" borderId="0" xfId="0" applyFill="1" applyAlignment="1">
      <alignment horizontal="center" vertical="center"/>
    </xf>
    <xf numFmtId="41" fontId="0" fillId="0" borderId="0" xfId="1" applyFont="1" applyFill="1" applyAlignment="1">
      <alignment horizontal="center" vertical="center"/>
    </xf>
    <xf numFmtId="41" fontId="0" fillId="0" borderId="0" xfId="1" applyFont="1" applyFill="1" applyAlignment="1">
      <alignment vertical="center"/>
    </xf>
    <xf numFmtId="41" fontId="0" fillId="0" borderId="0" xfId="23" applyFont="1" applyFill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41" fontId="16" fillId="3" borderId="8" xfId="1" applyFont="1" applyFill="1" applyBorder="1" applyAlignment="1">
      <alignment vertical="center"/>
    </xf>
    <xf numFmtId="10" fontId="16" fillId="0" borderId="13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41" fontId="16" fillId="3" borderId="8" xfId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41" fontId="16" fillId="3" borderId="9" xfId="1" applyFont="1" applyFill="1" applyBorder="1" applyAlignment="1">
      <alignment vertical="center"/>
    </xf>
    <xf numFmtId="0" fontId="16" fillId="17" borderId="13" xfId="0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76" fontId="16" fillId="0" borderId="13" xfId="0" applyNumberFormat="1" applyFont="1" applyFill="1" applyBorder="1" applyAlignment="1">
      <alignment horizontal="center" vertical="center" wrapText="1"/>
    </xf>
    <xf numFmtId="10" fontId="16" fillId="0" borderId="13" xfId="0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178" fontId="18" fillId="0" borderId="0" xfId="1" applyNumberFormat="1" applyFont="1" applyFill="1" applyBorder="1" applyAlignment="1">
      <alignment vertical="center"/>
    </xf>
    <xf numFmtId="41" fontId="18" fillId="4" borderId="0" xfId="1" applyFont="1" applyFill="1" applyBorder="1" applyAlignment="1">
      <alignment vertical="center"/>
    </xf>
    <xf numFmtId="176" fontId="16" fillId="4" borderId="0" xfId="1" applyNumberFormat="1" applyFont="1" applyFill="1" applyBorder="1" applyAlignment="1">
      <alignment horizontal="right" vertical="center"/>
    </xf>
    <xf numFmtId="176" fontId="16" fillId="4" borderId="0" xfId="0" applyNumberFormat="1" applyFont="1" applyFill="1" applyBorder="1" applyAlignment="1">
      <alignment horizontal="center" vertical="center"/>
    </xf>
    <xf numFmtId="41" fontId="2" fillId="0" borderId="9" xfId="26" applyFont="1" applyFill="1" applyBorder="1">
      <alignment vertical="center"/>
    </xf>
    <xf numFmtId="41" fontId="2" fillId="2" borderId="9" xfId="26" applyFont="1" applyFill="1" applyBorder="1">
      <alignment vertical="center"/>
    </xf>
    <xf numFmtId="41" fontId="2" fillId="18" borderId="9" xfId="26" applyFont="1" applyFill="1" applyBorder="1">
      <alignment vertical="center"/>
    </xf>
    <xf numFmtId="41" fontId="49" fillId="18" borderId="9" xfId="26" applyFont="1" applyFill="1" applyBorder="1">
      <alignment vertical="center"/>
    </xf>
    <xf numFmtId="41" fontId="50" fillId="18" borderId="9" xfId="26" applyFont="1" applyFill="1" applyBorder="1">
      <alignment vertical="center"/>
    </xf>
    <xf numFmtId="0" fontId="38" fillId="14" borderId="4" xfId="7" applyFont="1" applyFill="1" applyBorder="1" applyAlignment="1">
      <alignment horizontal="center" vertical="center"/>
    </xf>
    <xf numFmtId="10" fontId="16" fillId="0" borderId="13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81" fontId="16" fillId="12" borderId="7" xfId="0" applyNumberFormat="1" applyFont="1" applyFill="1" applyBorder="1" applyAlignment="1">
      <alignment vertical="center"/>
    </xf>
    <xf numFmtId="0" fontId="13" fillId="0" borderId="0" xfId="5" applyFont="1">
      <alignment vertical="center"/>
    </xf>
    <xf numFmtId="10" fontId="21" fillId="0" borderId="2" xfId="0" applyNumberFormat="1" applyFont="1" applyBorder="1" applyAlignment="1">
      <alignment horizontal="right" vertical="center" wrapText="1"/>
    </xf>
    <xf numFmtId="10" fontId="21" fillId="0" borderId="8" xfId="0" applyNumberFormat="1" applyFont="1" applyBorder="1" applyAlignment="1">
      <alignment horizontal="right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1" fontId="21" fillId="0" borderId="2" xfId="1" applyFont="1" applyBorder="1" applyAlignment="1">
      <alignment horizontal="right" vertical="center" wrapText="1"/>
    </xf>
    <xf numFmtId="41" fontId="21" fillId="0" borderId="8" xfId="1" applyFont="1" applyBorder="1" applyAlignment="1">
      <alignment horizontal="right" vertical="center" wrapText="1"/>
    </xf>
    <xf numFmtId="1" fontId="21" fillId="0" borderId="2" xfId="1" applyNumberFormat="1" applyFont="1" applyBorder="1" applyAlignment="1">
      <alignment horizontal="right" vertical="center"/>
    </xf>
    <xf numFmtId="1" fontId="21" fillId="0" borderId="8" xfId="1" applyNumberFormat="1" applyFont="1" applyBorder="1" applyAlignment="1">
      <alignment horizontal="right" vertical="center"/>
    </xf>
    <xf numFmtId="176" fontId="16" fillId="0" borderId="2" xfId="1" applyNumberFormat="1" applyFont="1" applyBorder="1" applyAlignment="1">
      <alignment horizontal="right" vertical="center" wrapText="1"/>
    </xf>
    <xf numFmtId="176" fontId="16" fillId="0" borderId="8" xfId="1" applyNumberFormat="1" applyFont="1" applyBorder="1" applyAlignment="1">
      <alignment horizontal="right" vertical="center"/>
    </xf>
    <xf numFmtId="41" fontId="21" fillId="0" borderId="2" xfId="1" applyFont="1" applyBorder="1" applyAlignment="1">
      <alignment horizontal="center" vertical="center" wrapText="1"/>
    </xf>
    <xf numFmtId="41" fontId="21" fillId="0" borderId="8" xfId="1" applyFont="1" applyBorder="1" applyAlignment="1">
      <alignment horizontal="center" vertical="center" wrapText="1"/>
    </xf>
    <xf numFmtId="41" fontId="21" fillId="0" borderId="8" xfId="1" applyFont="1" applyBorder="1" applyAlignment="1">
      <alignment horizontal="center" vertical="center"/>
    </xf>
    <xf numFmtId="3" fontId="16" fillId="0" borderId="2" xfId="1" applyNumberFormat="1" applyFont="1" applyBorder="1" applyAlignment="1">
      <alignment horizontal="right" vertical="center" wrapText="1"/>
    </xf>
    <xf numFmtId="3" fontId="16" fillId="0" borderId="8" xfId="1" applyNumberFormat="1" applyFont="1" applyBorder="1" applyAlignment="1">
      <alignment horizontal="right" vertical="center"/>
    </xf>
    <xf numFmtId="0" fontId="44" fillId="0" borderId="17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1" fontId="21" fillId="0" borderId="8" xfId="1" applyFont="1" applyBorder="1" applyAlignment="1">
      <alignment horizontal="right" vertical="center"/>
    </xf>
    <xf numFmtId="0" fontId="21" fillId="0" borderId="2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41" fontId="16" fillId="0" borderId="2" xfId="1" applyFont="1" applyBorder="1" applyAlignment="1">
      <alignment horizontal="right" vertical="center" wrapText="1"/>
    </xf>
    <xf numFmtId="41" fontId="16" fillId="0" borderId="8" xfId="1" applyFont="1" applyBorder="1" applyAlignment="1">
      <alignment horizontal="right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76" fontId="21" fillId="0" borderId="2" xfId="1" applyNumberFormat="1" applyFont="1" applyBorder="1" applyAlignment="1">
      <alignment vertical="center" wrapText="1"/>
    </xf>
    <xf numFmtId="176" fontId="21" fillId="0" borderId="8" xfId="1" applyNumberFormat="1" applyFont="1" applyBorder="1" applyAlignment="1">
      <alignment vertical="center" wrapText="1"/>
    </xf>
    <xf numFmtId="1" fontId="16" fillId="0" borderId="2" xfId="0" applyNumberFormat="1" applyFont="1" applyBorder="1" applyAlignment="1">
      <alignment horizontal="right" vertical="center" wrapText="1"/>
    </xf>
    <xf numFmtId="1" fontId="16" fillId="0" borderId="8" xfId="0" applyNumberFormat="1" applyFont="1" applyBorder="1" applyAlignment="1">
      <alignment horizontal="right" vertical="center"/>
    </xf>
    <xf numFmtId="176" fontId="21" fillId="0" borderId="2" xfId="1" applyNumberFormat="1" applyFont="1" applyBorder="1" applyAlignment="1">
      <alignment vertical="center"/>
    </xf>
    <xf numFmtId="176" fontId="21" fillId="0" borderId="8" xfId="1" applyNumberFormat="1" applyFont="1" applyBorder="1" applyAlignment="1">
      <alignment vertical="center"/>
    </xf>
    <xf numFmtId="1" fontId="16" fillId="0" borderId="2" xfId="1" applyNumberFormat="1" applyFont="1" applyBorder="1" applyAlignment="1">
      <alignment horizontal="right" vertical="center" wrapText="1"/>
    </xf>
    <xf numFmtId="1" fontId="16" fillId="0" borderId="8" xfId="1" applyNumberFormat="1" applyFont="1" applyBorder="1" applyAlignment="1">
      <alignment horizontal="right" vertical="center"/>
    </xf>
    <xf numFmtId="176" fontId="16" fillId="0" borderId="8" xfId="1" applyNumberFormat="1" applyFont="1" applyBorder="1" applyAlignment="1">
      <alignment horizontal="right" vertical="center" wrapText="1"/>
    </xf>
    <xf numFmtId="10" fontId="21" fillId="0" borderId="20" xfId="0" applyNumberFormat="1" applyFont="1" applyBorder="1" applyAlignment="1">
      <alignment horizontal="right" vertical="center" wrapText="1"/>
    </xf>
    <xf numFmtId="10" fontId="21" fillId="0" borderId="21" xfId="0" applyNumberFormat="1" applyFont="1" applyBorder="1" applyAlignment="1">
      <alignment horizontal="right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21" fillId="0" borderId="8" xfId="0" applyFont="1" applyBorder="1" applyAlignment="1">
      <alignment vertical="center"/>
    </xf>
    <xf numFmtId="3" fontId="21" fillId="0" borderId="2" xfId="0" applyNumberFormat="1" applyFont="1" applyBorder="1" applyAlignment="1">
      <alignment horizontal="right" vertical="center" wrapText="1"/>
    </xf>
    <xf numFmtId="0" fontId="21" fillId="0" borderId="8" xfId="0" applyFont="1" applyBorder="1" applyAlignment="1">
      <alignment horizontal="right" vertical="center"/>
    </xf>
    <xf numFmtId="176" fontId="16" fillId="0" borderId="2" xfId="1" applyNumberFormat="1" applyFont="1" applyBorder="1" applyAlignment="1">
      <alignment horizontal="center" vertical="center" wrapText="1"/>
    </xf>
    <xf numFmtId="176" fontId="16" fillId="0" borderId="13" xfId="1" applyNumberFormat="1" applyFont="1" applyBorder="1" applyAlignment="1">
      <alignment horizontal="center" vertical="center" wrapText="1"/>
    </xf>
    <xf numFmtId="176" fontId="16" fillId="0" borderId="8" xfId="1" applyNumberFormat="1" applyFont="1" applyBorder="1" applyAlignment="1">
      <alignment horizontal="center" vertical="center" wrapText="1"/>
    </xf>
    <xf numFmtId="10" fontId="21" fillId="0" borderId="2" xfId="0" applyNumberFormat="1" applyFont="1" applyBorder="1" applyAlignment="1">
      <alignment horizontal="center" vertical="center" wrapText="1"/>
    </xf>
    <xf numFmtId="10" fontId="21" fillId="0" borderId="13" xfId="0" applyNumberFormat="1" applyFont="1" applyBorder="1" applyAlignment="1">
      <alignment horizontal="center" vertical="center" wrapText="1"/>
    </xf>
    <xf numFmtId="10" fontId="21" fillId="0" borderId="8" xfId="0" applyNumberFormat="1" applyFont="1" applyBorder="1" applyAlignment="1">
      <alignment horizontal="center" vertical="center" wrapText="1"/>
    </xf>
    <xf numFmtId="41" fontId="16" fillId="0" borderId="2" xfId="1" applyFont="1" applyBorder="1" applyAlignment="1">
      <alignment horizontal="center" vertical="center" wrapText="1"/>
    </xf>
    <xf numFmtId="41" fontId="16" fillId="0" borderId="13" xfId="1" applyFont="1" applyBorder="1" applyAlignment="1">
      <alignment horizontal="center" vertical="center" wrapText="1"/>
    </xf>
    <xf numFmtId="41" fontId="16" fillId="0" borderId="8" xfId="1" applyFont="1" applyBorder="1" applyAlignment="1">
      <alignment horizontal="center" vertical="center" wrapText="1"/>
    </xf>
    <xf numFmtId="3" fontId="21" fillId="0" borderId="2" xfId="0" applyNumberFormat="1" applyFont="1" applyBorder="1" applyAlignment="1">
      <alignment horizontal="right" vertical="center"/>
    </xf>
    <xf numFmtId="10" fontId="21" fillId="0" borderId="5" xfId="0" applyNumberFormat="1" applyFont="1" applyBorder="1" applyAlignment="1">
      <alignment horizontal="right" vertical="center" wrapText="1"/>
    </xf>
    <xf numFmtId="10" fontId="21" fillId="0" borderId="10" xfId="0" applyNumberFormat="1" applyFont="1" applyBorder="1" applyAlignment="1">
      <alignment horizontal="right" vertical="center"/>
    </xf>
    <xf numFmtId="176" fontId="21" fillId="0" borderId="2" xfId="1" applyNumberFormat="1" applyFont="1" applyBorder="1" applyAlignment="1">
      <alignment horizontal="center" vertical="center" wrapText="1"/>
    </xf>
    <xf numFmtId="176" fontId="21" fillId="0" borderId="13" xfId="1" applyNumberFormat="1" applyFont="1" applyBorder="1" applyAlignment="1">
      <alignment horizontal="center" vertical="center" wrapText="1"/>
    </xf>
    <xf numFmtId="176" fontId="21" fillId="0" borderId="8" xfId="1" applyNumberFormat="1" applyFont="1" applyBorder="1" applyAlignment="1">
      <alignment horizontal="center" vertical="center" wrapText="1"/>
    </xf>
    <xf numFmtId="41" fontId="16" fillId="0" borderId="8" xfId="1" applyFont="1" applyBorder="1" applyAlignment="1">
      <alignment horizontal="right" vertical="center" wrapText="1"/>
    </xf>
    <xf numFmtId="3" fontId="21" fillId="0" borderId="2" xfId="1" applyNumberFormat="1" applyFont="1" applyBorder="1" applyAlignment="1">
      <alignment horizontal="right" vertical="center" wrapText="1"/>
    </xf>
    <xf numFmtId="3" fontId="21" fillId="0" borderId="8" xfId="1" applyNumberFormat="1" applyFont="1" applyBorder="1" applyAlignment="1">
      <alignment horizontal="right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176" fontId="21" fillId="0" borderId="13" xfId="0" applyNumberFormat="1" applyFont="1" applyBorder="1" applyAlignment="1">
      <alignment horizontal="center" vertical="center" wrapText="1"/>
    </xf>
    <xf numFmtId="176" fontId="21" fillId="0" borderId="8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41" fontId="21" fillId="0" borderId="2" xfId="0" applyNumberFormat="1" applyFont="1" applyBorder="1" applyAlignment="1">
      <alignment horizontal="right" vertical="center" wrapText="1"/>
    </xf>
    <xf numFmtId="41" fontId="21" fillId="0" borderId="8" xfId="0" applyNumberFormat="1" applyFont="1" applyBorder="1" applyAlignment="1">
      <alignment horizontal="right" vertical="center" wrapText="1"/>
    </xf>
    <xf numFmtId="3" fontId="21" fillId="0" borderId="8" xfId="0" applyNumberFormat="1" applyFont="1" applyBorder="1" applyAlignment="1">
      <alignment horizontal="right" vertical="center"/>
    </xf>
    <xf numFmtId="0" fontId="21" fillId="0" borderId="17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176" fontId="16" fillId="0" borderId="2" xfId="0" applyNumberFormat="1" applyFont="1" applyFill="1" applyBorder="1" applyAlignment="1">
      <alignment horizontal="right" vertical="center" wrapText="1"/>
    </xf>
    <xf numFmtId="176" fontId="16" fillId="0" borderId="8" xfId="0" applyNumberFormat="1" applyFont="1" applyFill="1" applyBorder="1" applyAlignment="1">
      <alignment horizontal="right" vertical="center" wrapText="1"/>
    </xf>
    <xf numFmtId="10" fontId="16" fillId="0" borderId="2" xfId="0" applyNumberFormat="1" applyFont="1" applyFill="1" applyBorder="1" applyAlignment="1">
      <alignment horizontal="right" vertical="center" wrapText="1"/>
    </xf>
    <xf numFmtId="10" fontId="16" fillId="0" borderId="8" xfId="0" applyNumberFormat="1" applyFont="1" applyFill="1" applyBorder="1" applyAlignment="1">
      <alignment horizontal="right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left" vertical="center"/>
    </xf>
    <xf numFmtId="0" fontId="16" fillId="0" borderId="8" xfId="0" applyFont="1" applyFill="1" applyBorder="1" applyAlignment="1">
      <alignment horizontal="left" vertical="center"/>
    </xf>
    <xf numFmtId="0" fontId="16" fillId="0" borderId="2" xfId="0" applyNumberFormat="1" applyFont="1" applyFill="1" applyBorder="1" applyAlignment="1">
      <alignment horizontal="right" vertical="center" wrapText="1"/>
    </xf>
    <xf numFmtId="0" fontId="16" fillId="0" borderId="13" xfId="0" applyNumberFormat="1" applyFont="1" applyFill="1" applyBorder="1" applyAlignment="1">
      <alignment horizontal="right" vertical="center" wrapText="1"/>
    </xf>
    <xf numFmtId="176" fontId="16" fillId="0" borderId="13" xfId="0" applyNumberFormat="1" applyFont="1" applyFill="1" applyBorder="1" applyAlignment="1">
      <alignment horizontal="right" vertical="center" wrapText="1"/>
    </xf>
    <xf numFmtId="0" fontId="16" fillId="0" borderId="13" xfId="0" applyFont="1" applyFill="1" applyBorder="1" applyAlignment="1">
      <alignment horizontal="center" vertical="center"/>
    </xf>
    <xf numFmtId="41" fontId="16" fillId="0" borderId="2" xfId="1" applyFont="1" applyFill="1" applyBorder="1" applyAlignment="1">
      <alignment horizontal="right" vertical="center" wrapText="1"/>
    </xf>
    <xf numFmtId="41" fontId="16" fillId="0" borderId="13" xfId="1" applyFont="1" applyFill="1" applyBorder="1" applyAlignment="1">
      <alignment horizontal="right" vertical="center" wrapText="1"/>
    </xf>
    <xf numFmtId="41" fontId="16" fillId="0" borderId="8" xfId="1" applyFont="1" applyFill="1" applyBorder="1" applyAlignment="1">
      <alignment horizontal="right" vertical="center" wrapText="1"/>
    </xf>
    <xf numFmtId="0" fontId="16" fillId="0" borderId="0" xfId="0" applyFont="1" applyFill="1" applyBorder="1" applyAlignment="1">
      <alignment horizontal="center" vertical="center"/>
    </xf>
    <xf numFmtId="41" fontId="16" fillId="0" borderId="2" xfId="1" applyFont="1" applyFill="1" applyBorder="1" applyAlignment="1">
      <alignment horizontal="center" vertical="center" wrapText="1"/>
    </xf>
    <xf numFmtId="41" fontId="16" fillId="0" borderId="8" xfId="1" applyFont="1" applyFill="1" applyBorder="1" applyAlignment="1">
      <alignment horizontal="center" vertical="center" wrapText="1"/>
    </xf>
    <xf numFmtId="176" fontId="16" fillId="0" borderId="2" xfId="0" applyNumberFormat="1" applyFont="1" applyFill="1" applyBorder="1" applyAlignment="1">
      <alignment horizontal="center" vertical="center" wrapText="1"/>
    </xf>
    <xf numFmtId="176" fontId="16" fillId="0" borderId="13" xfId="0" applyNumberFormat="1" applyFont="1" applyFill="1" applyBorder="1" applyAlignment="1">
      <alignment horizontal="center" vertical="center" wrapText="1"/>
    </xf>
    <xf numFmtId="10" fontId="16" fillId="0" borderId="2" xfId="0" applyNumberFormat="1" applyFont="1" applyFill="1" applyBorder="1" applyAlignment="1">
      <alignment horizontal="center" vertical="center" wrapText="1"/>
    </xf>
    <xf numFmtId="10" fontId="16" fillId="0" borderId="13" xfId="0" applyNumberFormat="1" applyFont="1" applyFill="1" applyBorder="1" applyAlignment="1">
      <alignment horizontal="center" vertical="center" wrapText="1"/>
    </xf>
    <xf numFmtId="10" fontId="16" fillId="0" borderId="13" xfId="0" applyNumberFormat="1" applyFont="1" applyFill="1" applyBorder="1" applyAlignment="1">
      <alignment horizontal="right" vertical="center" wrapText="1"/>
    </xf>
    <xf numFmtId="41" fontId="16" fillId="4" borderId="0" xfId="1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 vertical="center" wrapText="1"/>
    </xf>
    <xf numFmtId="10" fontId="16" fillId="0" borderId="8" xfId="0" applyNumberFormat="1" applyFont="1" applyFill="1" applyBorder="1" applyAlignment="1">
      <alignment horizontal="center" vertical="center" wrapText="1"/>
    </xf>
    <xf numFmtId="178" fontId="16" fillId="0" borderId="0" xfId="4" applyNumberFormat="1" applyFont="1" applyFill="1" applyBorder="1" applyAlignment="1">
      <alignment horizontal="center" vertical="center"/>
    </xf>
    <xf numFmtId="41" fontId="16" fillId="3" borderId="13" xfId="1" applyFont="1" applyFill="1" applyBorder="1" applyAlignment="1">
      <alignment vertical="center" wrapText="1"/>
    </xf>
    <xf numFmtId="41" fontId="16" fillId="3" borderId="8" xfId="1" applyFont="1" applyFill="1" applyBorder="1" applyAlignment="1">
      <alignment vertical="center" wrapText="1"/>
    </xf>
    <xf numFmtId="176" fontId="16" fillId="0" borderId="13" xfId="1" applyNumberFormat="1" applyFont="1" applyFill="1" applyBorder="1" applyAlignment="1">
      <alignment horizontal="center" vertical="center"/>
    </xf>
    <xf numFmtId="176" fontId="16" fillId="0" borderId="8" xfId="1" applyNumberFormat="1" applyFont="1" applyFill="1" applyBorder="1" applyAlignment="1">
      <alignment horizontal="center" vertical="center"/>
    </xf>
    <xf numFmtId="10" fontId="16" fillId="0" borderId="13" xfId="1" applyNumberFormat="1" applyFont="1" applyFill="1" applyBorder="1" applyAlignment="1">
      <alignment horizontal="center" vertical="center"/>
    </xf>
    <xf numFmtId="10" fontId="16" fillId="0" borderId="8" xfId="1" applyNumberFormat="1" applyFont="1" applyFill="1" applyBorder="1" applyAlignment="1">
      <alignment horizontal="center" vertical="center"/>
    </xf>
    <xf numFmtId="41" fontId="16" fillId="3" borderId="2" xfId="1" applyFont="1" applyFill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41" fontId="16" fillId="3" borderId="2" xfId="1" applyFont="1" applyFill="1" applyBorder="1" applyAlignment="1">
      <alignment vertical="center"/>
    </xf>
    <xf numFmtId="41" fontId="16" fillId="3" borderId="13" xfId="1" applyFont="1" applyFill="1" applyBorder="1" applyAlignment="1">
      <alignment vertical="center"/>
    </xf>
    <xf numFmtId="176" fontId="16" fillId="0" borderId="2" xfId="1" applyNumberFormat="1" applyFont="1" applyFill="1" applyBorder="1" applyAlignment="1">
      <alignment horizontal="center" vertical="center"/>
    </xf>
    <xf numFmtId="10" fontId="16" fillId="0" borderId="2" xfId="1" applyNumberFormat="1" applyFont="1" applyFill="1" applyBorder="1" applyAlignment="1">
      <alignment horizontal="center" vertical="center"/>
    </xf>
    <xf numFmtId="1" fontId="16" fillId="0" borderId="2" xfId="0" applyNumberFormat="1" applyFont="1" applyFill="1" applyBorder="1" applyAlignment="1">
      <alignment horizontal="center" vertical="center" wrapText="1"/>
    </xf>
    <xf numFmtId="1" fontId="16" fillId="0" borderId="13" xfId="0" applyNumberFormat="1" applyFont="1" applyFill="1" applyBorder="1" applyAlignment="1">
      <alignment horizontal="center" vertical="center" wrapText="1"/>
    </xf>
    <xf numFmtId="1" fontId="16" fillId="0" borderId="8" xfId="0" applyNumberFormat="1" applyFont="1" applyFill="1" applyBorder="1" applyAlignment="1">
      <alignment horizontal="center" vertical="center" wrapText="1"/>
    </xf>
    <xf numFmtId="41" fontId="16" fillId="3" borderId="8" xfId="1" applyFont="1" applyFill="1" applyBorder="1" applyAlignment="1">
      <alignment vertical="center"/>
    </xf>
    <xf numFmtId="176" fontId="16" fillId="0" borderId="2" xfId="1" applyNumberFormat="1" applyFont="1" applyFill="1" applyBorder="1" applyAlignment="1">
      <alignment horizontal="center" vertical="center" wrapText="1"/>
    </xf>
    <xf numFmtId="176" fontId="16" fillId="0" borderId="8" xfId="1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center" vertical="center"/>
    </xf>
    <xf numFmtId="41" fontId="16" fillId="0" borderId="8" xfId="1" applyFont="1" applyFill="1" applyBorder="1" applyAlignment="1">
      <alignment horizontal="center" vertical="center"/>
    </xf>
    <xf numFmtId="41" fontId="16" fillId="0" borderId="13" xfId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 wrapText="1"/>
    </xf>
    <xf numFmtId="0" fontId="16" fillId="17" borderId="2" xfId="0" applyFont="1" applyFill="1" applyBorder="1" applyAlignment="1">
      <alignment horizontal="center" vertical="center" wrapText="1"/>
    </xf>
    <xf numFmtId="49" fontId="16" fillId="4" borderId="0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178" fontId="16" fillId="0" borderId="0" xfId="1" applyNumberFormat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186" fontId="16" fillId="0" borderId="2" xfId="0" applyNumberFormat="1" applyFont="1" applyFill="1" applyBorder="1" applyAlignment="1">
      <alignment horizontal="center" vertical="center" wrapText="1"/>
    </xf>
    <xf numFmtId="186" fontId="16" fillId="0" borderId="13" xfId="0" applyNumberFormat="1" applyFont="1" applyFill="1" applyBorder="1" applyAlignment="1">
      <alignment horizontal="center" vertical="center" wrapText="1"/>
    </xf>
    <xf numFmtId="186" fontId="16" fillId="0" borderId="8" xfId="0" applyNumberFormat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41" fontId="16" fillId="3" borderId="2" xfId="1" applyFont="1" applyFill="1" applyBorder="1" applyAlignment="1">
      <alignment horizontal="center" vertical="center"/>
    </xf>
    <xf numFmtId="41" fontId="16" fillId="3" borderId="8" xfId="1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10" fontId="16" fillId="0" borderId="2" xfId="1" applyNumberFormat="1" applyFont="1" applyFill="1" applyBorder="1" applyAlignment="1">
      <alignment horizontal="center" vertical="center" wrapText="1"/>
    </xf>
    <xf numFmtId="10" fontId="16" fillId="0" borderId="8" xfId="1" applyNumberFormat="1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/>
    </xf>
    <xf numFmtId="41" fontId="16" fillId="3" borderId="2" xfId="1" applyFont="1" applyFill="1" applyBorder="1" applyAlignment="1">
      <alignment horizontal="center" vertical="center" wrapText="1"/>
    </xf>
    <xf numFmtId="41" fontId="16" fillId="3" borderId="13" xfId="1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1" fontId="16" fillId="15" borderId="9" xfId="1" applyFont="1" applyFill="1" applyBorder="1" applyAlignment="1">
      <alignment vertical="center"/>
    </xf>
    <xf numFmtId="41" fontId="16" fillId="15" borderId="2" xfId="1" applyFont="1" applyFill="1" applyBorder="1" applyAlignment="1">
      <alignment vertical="center"/>
    </xf>
    <xf numFmtId="10" fontId="16" fillId="0" borderId="2" xfId="2" applyNumberFormat="1" applyFont="1" applyFill="1" applyBorder="1" applyAlignment="1">
      <alignment horizontal="center" vertical="center" wrapText="1"/>
    </xf>
    <xf numFmtId="10" fontId="16" fillId="0" borderId="13" xfId="2" applyNumberFormat="1" applyFont="1" applyFill="1" applyBorder="1" applyAlignment="1">
      <alignment horizontal="center" vertical="center" wrapText="1"/>
    </xf>
    <xf numFmtId="0" fontId="16" fillId="16" borderId="2" xfId="0" applyFont="1" applyFill="1" applyBorder="1" applyAlignment="1">
      <alignment horizontal="center" vertical="center" wrapText="1"/>
    </xf>
    <xf numFmtId="0" fontId="16" fillId="16" borderId="13" xfId="0" applyFont="1" applyFill="1" applyBorder="1" applyAlignment="1">
      <alignment horizontal="center" vertical="center" wrapText="1"/>
    </xf>
    <xf numFmtId="41" fontId="16" fillId="3" borderId="9" xfId="1" applyFont="1" applyFill="1" applyBorder="1" applyAlignment="1">
      <alignment vertical="center"/>
    </xf>
    <xf numFmtId="10" fontId="16" fillId="0" borderId="6" xfId="0" applyNumberFormat="1" applyFont="1" applyFill="1" applyBorder="1" applyAlignment="1">
      <alignment horizontal="center" vertical="center" wrapText="1"/>
    </xf>
    <xf numFmtId="10" fontId="16" fillId="0" borderId="0" xfId="0" applyNumberFormat="1" applyFont="1" applyFill="1" applyBorder="1" applyAlignment="1">
      <alignment horizontal="center" vertical="center" wrapText="1"/>
    </xf>
    <xf numFmtId="41" fontId="16" fillId="3" borderId="14" xfId="1" applyFont="1" applyFill="1" applyBorder="1" applyAlignment="1">
      <alignment vertical="center"/>
    </xf>
    <xf numFmtId="41" fontId="16" fillId="3" borderId="10" xfId="1" applyFont="1" applyFill="1" applyBorder="1" applyAlignment="1">
      <alignment vertical="center"/>
    </xf>
    <xf numFmtId="0" fontId="16" fillId="17" borderId="9" xfId="0" applyFont="1" applyFill="1" applyBorder="1" applyAlignment="1">
      <alignment horizontal="center" vertical="center" wrapText="1"/>
    </xf>
    <xf numFmtId="0" fontId="16" fillId="16" borderId="8" xfId="0" applyFont="1" applyFill="1" applyBorder="1" applyAlignment="1">
      <alignment horizontal="center" vertical="center" wrapText="1"/>
    </xf>
    <xf numFmtId="41" fontId="16" fillId="3" borderId="5" xfId="1" applyFont="1" applyFill="1" applyBorder="1" applyAlignment="1">
      <alignment vertical="center"/>
    </xf>
    <xf numFmtId="10" fontId="16" fillId="0" borderId="7" xfId="0" applyNumberFormat="1" applyFont="1" applyFill="1" applyBorder="1" applyAlignment="1">
      <alignment horizontal="center" vertical="center" wrapText="1"/>
    </xf>
    <xf numFmtId="10" fontId="16" fillId="0" borderId="12" xfId="0" applyNumberFormat="1" applyFont="1" applyFill="1" applyBorder="1" applyAlignment="1">
      <alignment horizontal="center" vertical="center" wrapText="1"/>
    </xf>
    <xf numFmtId="41" fontId="16" fillId="15" borderId="2" xfId="1" applyFont="1" applyFill="1" applyBorder="1" applyAlignment="1">
      <alignment vertical="center" wrapText="1"/>
    </xf>
    <xf numFmtId="41" fontId="16" fillId="15" borderId="8" xfId="1" applyFont="1" applyFill="1" applyBorder="1" applyAlignment="1">
      <alignment vertical="center" wrapText="1"/>
    </xf>
    <xf numFmtId="41" fontId="16" fillId="15" borderId="13" xfId="1" applyFont="1" applyFill="1" applyBorder="1" applyAlignment="1">
      <alignment vertical="center" wrapText="1"/>
    </xf>
    <xf numFmtId="189" fontId="16" fillId="3" borderId="2" xfId="1" applyNumberFormat="1" applyFont="1" applyFill="1" applyBorder="1" applyAlignment="1">
      <alignment vertical="center" wrapText="1"/>
    </xf>
    <xf numFmtId="189" fontId="16" fillId="3" borderId="13" xfId="1" applyNumberFormat="1" applyFont="1" applyFill="1" applyBorder="1" applyAlignment="1">
      <alignment vertical="center" wrapText="1"/>
    </xf>
    <xf numFmtId="0" fontId="16" fillId="5" borderId="13" xfId="0" applyFont="1" applyFill="1" applyBorder="1" applyAlignment="1">
      <alignment horizontal="center" vertical="center"/>
    </xf>
    <xf numFmtId="0" fontId="16" fillId="17" borderId="8" xfId="0" applyFont="1" applyFill="1" applyBorder="1" applyAlignment="1">
      <alignment horizontal="center" vertical="center" wrapText="1"/>
    </xf>
    <xf numFmtId="10" fontId="16" fillId="0" borderId="2" xfId="2" applyNumberFormat="1" applyFont="1" applyFill="1" applyBorder="1" applyAlignment="1">
      <alignment horizontal="center" vertical="center"/>
    </xf>
    <xf numFmtId="10" fontId="16" fillId="0" borderId="13" xfId="2" applyNumberFormat="1" applyFont="1" applyFill="1" applyBorder="1" applyAlignment="1">
      <alignment horizontal="center" vertical="center"/>
    </xf>
    <xf numFmtId="10" fontId="16" fillId="0" borderId="2" xfId="0" applyNumberFormat="1" applyFont="1" applyFill="1" applyBorder="1" applyAlignment="1">
      <alignment horizontal="center" vertical="center"/>
    </xf>
    <xf numFmtId="10" fontId="16" fillId="0" borderId="13" xfId="0" applyNumberFormat="1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176" fontId="16" fillId="0" borderId="7" xfId="1" applyNumberFormat="1" applyFont="1" applyFill="1" applyBorder="1" applyAlignment="1">
      <alignment horizontal="center" vertical="center"/>
    </xf>
    <xf numFmtId="176" fontId="16" fillId="0" borderId="12" xfId="1" applyNumberFormat="1" applyFont="1" applyFill="1" applyBorder="1" applyAlignment="1">
      <alignment horizontal="center" vertical="center"/>
    </xf>
    <xf numFmtId="41" fontId="16" fillId="7" borderId="13" xfId="1" applyFont="1" applyFill="1" applyBorder="1" applyAlignment="1">
      <alignment vertical="center"/>
    </xf>
    <xf numFmtId="190" fontId="16" fillId="0" borderId="13" xfId="1" applyNumberFormat="1" applyFont="1" applyFill="1" applyBorder="1" applyAlignment="1">
      <alignment horizontal="center" vertical="center" wrapText="1"/>
    </xf>
    <xf numFmtId="41" fontId="16" fillId="7" borderId="2" xfId="1" applyFont="1" applyFill="1" applyBorder="1" applyAlignment="1">
      <alignment vertical="center"/>
    </xf>
    <xf numFmtId="190" fontId="16" fillId="0" borderId="2" xfId="1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/>
    </xf>
    <xf numFmtId="176" fontId="20" fillId="0" borderId="2" xfId="1" applyNumberFormat="1" applyFont="1" applyFill="1" applyBorder="1" applyAlignment="1">
      <alignment horizontal="center" vertical="center" wrapText="1"/>
    </xf>
    <xf numFmtId="176" fontId="20" fillId="0" borderId="13" xfId="1" applyNumberFormat="1" applyFont="1" applyFill="1" applyBorder="1" applyAlignment="1">
      <alignment horizontal="center" vertical="center" wrapText="1"/>
    </xf>
    <xf numFmtId="176" fontId="20" fillId="0" borderId="8" xfId="1" applyNumberFormat="1" applyFont="1" applyFill="1" applyBorder="1" applyAlignment="1">
      <alignment horizontal="center" vertical="center" wrapText="1"/>
    </xf>
    <xf numFmtId="41" fontId="16" fillId="3" borderId="8" xfId="1" applyFont="1" applyFill="1" applyBorder="1" applyAlignment="1">
      <alignment horizontal="center" vertical="center" wrapText="1"/>
    </xf>
    <xf numFmtId="10" fontId="16" fillId="0" borderId="8" xfId="0" applyNumberFormat="1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center" vertical="center"/>
    </xf>
    <xf numFmtId="43" fontId="16" fillId="3" borderId="2" xfId="1" applyNumberFormat="1" applyFont="1" applyFill="1" applyBorder="1" applyAlignment="1">
      <alignment vertical="center"/>
    </xf>
    <xf numFmtId="0" fontId="16" fillId="7" borderId="2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41" fontId="16" fillId="7" borderId="8" xfId="1" applyFont="1" applyFill="1" applyBorder="1" applyAlignment="1">
      <alignment vertical="center"/>
    </xf>
    <xf numFmtId="176" fontId="20" fillId="0" borderId="13" xfId="1" applyNumberFormat="1" applyFont="1" applyFill="1" applyBorder="1" applyAlignment="1">
      <alignment horizontal="center" vertical="center"/>
    </xf>
    <xf numFmtId="0" fontId="16" fillId="9" borderId="13" xfId="0" applyFont="1" applyFill="1" applyBorder="1" applyAlignment="1">
      <alignment horizontal="center" vertical="center" wrapText="1"/>
    </xf>
    <xf numFmtId="41" fontId="0" fillId="3" borderId="9" xfId="1" applyFont="1" applyFill="1" applyBorder="1" applyAlignment="1">
      <alignment vertical="center"/>
    </xf>
    <xf numFmtId="9" fontId="16" fillId="0" borderId="13" xfId="2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/>
    </xf>
    <xf numFmtId="3" fontId="16" fillId="0" borderId="13" xfId="1" applyNumberFormat="1" applyFont="1" applyFill="1" applyBorder="1" applyAlignment="1">
      <alignment horizontal="center" vertical="center" wrapText="1"/>
    </xf>
    <xf numFmtId="3" fontId="16" fillId="0" borderId="8" xfId="1" applyNumberFormat="1" applyFont="1" applyFill="1" applyBorder="1" applyAlignment="1">
      <alignment horizontal="center" vertical="center" wrapText="1"/>
    </xf>
    <xf numFmtId="3" fontId="16" fillId="0" borderId="2" xfId="1" applyNumberFormat="1" applyFont="1" applyFill="1" applyBorder="1" applyAlignment="1">
      <alignment horizontal="center" vertical="center"/>
    </xf>
    <xf numFmtId="3" fontId="16" fillId="0" borderId="13" xfId="1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vertical="center" wrapText="1"/>
    </xf>
    <xf numFmtId="41" fontId="16" fillId="7" borderId="8" xfId="1" applyFont="1" applyFill="1" applyBorder="1" applyAlignment="1">
      <alignment vertical="center" wrapText="1"/>
    </xf>
    <xf numFmtId="3" fontId="16" fillId="0" borderId="2" xfId="1" applyNumberFormat="1" applyFont="1" applyFill="1" applyBorder="1" applyAlignment="1">
      <alignment horizontal="center" vertical="center" wrapText="1"/>
    </xf>
    <xf numFmtId="180" fontId="16" fillId="0" borderId="0" xfId="1" applyNumberFormat="1" applyFont="1" applyFill="1" applyBorder="1" applyAlignment="1">
      <alignment horizontal="center" vertical="center"/>
    </xf>
    <xf numFmtId="180" fontId="16" fillId="2" borderId="0" xfId="1" applyNumberFormat="1" applyFont="1" applyFill="1" applyBorder="1" applyAlignment="1">
      <alignment horizontal="center" vertical="center"/>
    </xf>
    <xf numFmtId="41" fontId="16" fillId="3" borderId="9" xfId="1" applyNumberFormat="1" applyFont="1" applyFill="1" applyBorder="1" applyAlignment="1">
      <alignment vertical="center"/>
    </xf>
    <xf numFmtId="0" fontId="16" fillId="3" borderId="9" xfId="1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horizontal="center" vertical="center"/>
    </xf>
    <xf numFmtId="41" fontId="16" fillId="0" borderId="13" xfId="1" applyFont="1" applyFill="1" applyBorder="1" applyAlignment="1">
      <alignment horizontal="center" vertical="center" wrapText="1"/>
    </xf>
    <xf numFmtId="10" fontId="20" fillId="0" borderId="13" xfId="1" applyNumberFormat="1" applyFont="1" applyFill="1" applyBorder="1" applyAlignment="1">
      <alignment horizontal="center" vertical="center" wrapText="1"/>
    </xf>
    <xf numFmtId="10" fontId="20" fillId="0" borderId="8" xfId="1" applyNumberFormat="1" applyFont="1" applyFill="1" applyBorder="1" applyAlignment="1">
      <alignment horizontal="center" vertical="center" wrapText="1"/>
    </xf>
    <xf numFmtId="10" fontId="20" fillId="0" borderId="2" xfId="0" applyNumberFormat="1" applyFont="1" applyFill="1" applyBorder="1" applyAlignment="1">
      <alignment horizontal="center" vertical="center"/>
    </xf>
    <xf numFmtId="10" fontId="20" fillId="0" borderId="13" xfId="0" applyNumberFormat="1" applyFont="1" applyFill="1" applyBorder="1" applyAlignment="1">
      <alignment horizontal="center" vertical="center"/>
    </xf>
    <xf numFmtId="0" fontId="33" fillId="0" borderId="2" xfId="7" applyFont="1" applyBorder="1" applyAlignment="1">
      <alignment horizontal="center" vertical="center"/>
    </xf>
    <xf numFmtId="0" fontId="33" fillId="0" borderId="8" xfId="7" applyFont="1" applyBorder="1" applyAlignment="1">
      <alignment horizontal="center" vertical="center"/>
    </xf>
    <xf numFmtId="0" fontId="33" fillId="0" borderId="5" xfId="7" applyFont="1" applyBorder="1" applyAlignment="1">
      <alignment horizontal="center" vertical="center"/>
    </xf>
    <xf numFmtId="0" fontId="33" fillId="0" borderId="14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0" fontId="38" fillId="0" borderId="3" xfId="7" applyFont="1" applyBorder="1" applyAlignment="1">
      <alignment horizontal="center" vertical="center"/>
    </xf>
    <xf numFmtId="0" fontId="38" fillId="0" borderId="4" xfId="7" applyFont="1" applyBorder="1" applyAlignment="1">
      <alignment horizontal="center" vertical="center"/>
    </xf>
    <xf numFmtId="0" fontId="38" fillId="14" borderId="3" xfId="7" applyFont="1" applyFill="1" applyBorder="1" applyAlignment="1">
      <alignment horizontal="center" vertical="center"/>
    </xf>
    <xf numFmtId="0" fontId="38" fillId="14" borderId="4" xfId="7" applyFont="1" applyFill="1" applyBorder="1" applyAlignment="1">
      <alignment horizontal="center" vertical="center"/>
    </xf>
    <xf numFmtId="0" fontId="33" fillId="0" borderId="13" xfId="7" applyFont="1" applyBorder="1" applyAlignment="1">
      <alignment horizontal="center" vertical="center"/>
    </xf>
    <xf numFmtId="0" fontId="33" fillId="0" borderId="9" xfId="7" applyFont="1" applyBorder="1" applyAlignment="1">
      <alignment horizontal="center" vertical="center"/>
    </xf>
    <xf numFmtId="0" fontId="33" fillId="0" borderId="2" xfId="7" applyFont="1" applyBorder="1" applyAlignment="1">
      <alignment horizontal="center" vertical="center" wrapText="1"/>
    </xf>
    <xf numFmtId="0" fontId="33" fillId="0" borderId="13" xfId="7" applyFont="1" applyBorder="1" applyAlignment="1">
      <alignment horizontal="center" vertical="center" wrapText="1"/>
    </xf>
    <xf numFmtId="0" fontId="33" fillId="0" borderId="8" xfId="7" applyFont="1" applyBorder="1" applyAlignment="1">
      <alignment horizontal="center" vertical="center" wrapText="1"/>
    </xf>
    <xf numFmtId="0" fontId="33" fillId="14" borderId="3" xfId="7" applyFont="1" applyFill="1" applyBorder="1" applyAlignment="1">
      <alignment horizontal="center" vertical="center"/>
    </xf>
    <xf numFmtId="0" fontId="33" fillId="14" borderId="4" xfId="7" applyFont="1" applyFill="1" applyBorder="1" applyAlignment="1">
      <alignment horizontal="center" vertical="center"/>
    </xf>
    <xf numFmtId="0" fontId="33" fillId="13" borderId="3" xfId="7" applyFont="1" applyFill="1" applyBorder="1" applyAlignment="1">
      <alignment horizontal="center" vertical="center"/>
    </xf>
    <xf numFmtId="0" fontId="33" fillId="13" borderId="4" xfId="7" applyFont="1" applyFill="1" applyBorder="1" applyAlignment="1">
      <alignment horizontal="center" vertical="center"/>
    </xf>
  </cellXfs>
  <cellStyles count="29">
    <cellStyle name="백분율" xfId="2" builtinId="5"/>
    <cellStyle name="쉼표 [0]" xfId="1" builtinId="6"/>
    <cellStyle name="쉼표 [0] 10" xfId="28"/>
    <cellStyle name="쉼표 [0] 2" xfId="4"/>
    <cellStyle name="쉼표 [0] 2 2" xfId="12"/>
    <cellStyle name="쉼표 [0] 3" xfId="6"/>
    <cellStyle name="쉼표 [0] 3 2" xfId="8"/>
    <cellStyle name="쉼표 [0] 3 2 2" xfId="13"/>
    <cellStyle name="쉼표 [0] 4" xfId="10"/>
    <cellStyle name="쉼표 [0] 5" xfId="15"/>
    <cellStyle name="쉼표 [0] 6" xfId="17"/>
    <cellStyle name="쉼표 [0] 6 2" xfId="23"/>
    <cellStyle name="쉼표 [0] 7" xfId="19"/>
    <cellStyle name="쉼표 [0] 8" xfId="21"/>
    <cellStyle name="쉼표 [0] 9" xfId="26"/>
    <cellStyle name="표준" xfId="0" builtinId="0"/>
    <cellStyle name="표준 10" xfId="27"/>
    <cellStyle name="표준 2" xfId="3"/>
    <cellStyle name="표준 2 2" xfId="7"/>
    <cellStyle name="표준 3" xfId="5"/>
    <cellStyle name="표준 3 2" xfId="11"/>
    <cellStyle name="표준 4" xfId="9"/>
    <cellStyle name="표준 5" xfId="14"/>
    <cellStyle name="표준 6" xfId="16"/>
    <cellStyle name="표준 6 2" xfId="22"/>
    <cellStyle name="표준 6 3" xfId="24"/>
    <cellStyle name="표준 7" xfId="18"/>
    <cellStyle name="표준 8" xfId="20"/>
    <cellStyle name="표준 9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workbookViewId="0">
      <selection activeCell="I11" sqref="I11:I13"/>
    </sheetView>
  </sheetViews>
  <sheetFormatPr defaultRowHeight="13.5"/>
  <cols>
    <col min="1" max="2" width="7.33203125" customWidth="1"/>
    <col min="3" max="3" width="7.77734375" customWidth="1"/>
    <col min="4" max="4" width="9.33203125" customWidth="1"/>
    <col min="5" max="5" width="11.5546875" bestFit="1" customWidth="1"/>
    <col min="6" max="6" width="7.77734375" customWidth="1"/>
    <col min="7" max="7" width="8" customWidth="1"/>
    <col min="8" max="8" width="8.33203125" customWidth="1"/>
    <col min="9" max="9" width="7.33203125" customWidth="1"/>
    <col min="10" max="10" width="9.77734375" customWidth="1"/>
    <col min="11" max="12" width="9.88671875" bestFit="1" customWidth="1"/>
    <col min="13" max="13" width="7.88671875" customWidth="1"/>
    <col min="14" max="14" width="8.109375" customWidth="1"/>
    <col min="257" max="258" width="7.33203125" customWidth="1"/>
    <col min="259" max="259" width="7.77734375" customWidth="1"/>
    <col min="260" max="260" width="9.33203125" customWidth="1"/>
    <col min="261" max="261" width="11.5546875" bestFit="1" customWidth="1"/>
    <col min="262" max="262" width="7.77734375" customWidth="1"/>
    <col min="263" max="263" width="8" customWidth="1"/>
    <col min="264" max="264" width="8.33203125" customWidth="1"/>
    <col min="265" max="265" width="7.33203125" customWidth="1"/>
    <col min="266" max="266" width="9.77734375" customWidth="1"/>
    <col min="267" max="268" width="9.88671875" bestFit="1" customWidth="1"/>
    <col min="269" max="269" width="7.88671875" customWidth="1"/>
    <col min="270" max="270" width="8.109375" customWidth="1"/>
    <col min="513" max="514" width="7.33203125" customWidth="1"/>
    <col min="515" max="515" width="7.77734375" customWidth="1"/>
    <col min="516" max="516" width="9.33203125" customWidth="1"/>
    <col min="517" max="517" width="11.5546875" bestFit="1" customWidth="1"/>
    <col min="518" max="518" width="7.77734375" customWidth="1"/>
    <col min="519" max="519" width="8" customWidth="1"/>
    <col min="520" max="520" width="8.33203125" customWidth="1"/>
    <col min="521" max="521" width="7.33203125" customWidth="1"/>
    <col min="522" max="522" width="9.77734375" customWidth="1"/>
    <col min="523" max="524" width="9.88671875" bestFit="1" customWidth="1"/>
    <col min="525" max="525" width="7.88671875" customWidth="1"/>
    <col min="526" max="526" width="8.109375" customWidth="1"/>
    <col min="769" max="770" width="7.33203125" customWidth="1"/>
    <col min="771" max="771" width="7.77734375" customWidth="1"/>
    <col min="772" max="772" width="9.33203125" customWidth="1"/>
    <col min="773" max="773" width="11.5546875" bestFit="1" customWidth="1"/>
    <col min="774" max="774" width="7.77734375" customWidth="1"/>
    <col min="775" max="775" width="8" customWidth="1"/>
    <col min="776" max="776" width="8.33203125" customWidth="1"/>
    <col min="777" max="777" width="7.33203125" customWidth="1"/>
    <col min="778" max="778" width="9.77734375" customWidth="1"/>
    <col min="779" max="780" width="9.88671875" bestFit="1" customWidth="1"/>
    <col min="781" max="781" width="7.88671875" customWidth="1"/>
    <col min="782" max="782" width="8.109375" customWidth="1"/>
    <col min="1025" max="1026" width="7.33203125" customWidth="1"/>
    <col min="1027" max="1027" width="7.77734375" customWidth="1"/>
    <col min="1028" max="1028" width="9.33203125" customWidth="1"/>
    <col min="1029" max="1029" width="11.5546875" bestFit="1" customWidth="1"/>
    <col min="1030" max="1030" width="7.77734375" customWidth="1"/>
    <col min="1031" max="1031" width="8" customWidth="1"/>
    <col min="1032" max="1032" width="8.33203125" customWidth="1"/>
    <col min="1033" max="1033" width="7.33203125" customWidth="1"/>
    <col min="1034" max="1034" width="9.77734375" customWidth="1"/>
    <col min="1035" max="1036" width="9.88671875" bestFit="1" customWidth="1"/>
    <col min="1037" max="1037" width="7.88671875" customWidth="1"/>
    <col min="1038" max="1038" width="8.109375" customWidth="1"/>
    <col min="1281" max="1282" width="7.33203125" customWidth="1"/>
    <col min="1283" max="1283" width="7.77734375" customWidth="1"/>
    <col min="1284" max="1284" width="9.33203125" customWidth="1"/>
    <col min="1285" max="1285" width="11.5546875" bestFit="1" customWidth="1"/>
    <col min="1286" max="1286" width="7.77734375" customWidth="1"/>
    <col min="1287" max="1287" width="8" customWidth="1"/>
    <col min="1288" max="1288" width="8.33203125" customWidth="1"/>
    <col min="1289" max="1289" width="7.33203125" customWidth="1"/>
    <col min="1290" max="1290" width="9.77734375" customWidth="1"/>
    <col min="1291" max="1292" width="9.88671875" bestFit="1" customWidth="1"/>
    <col min="1293" max="1293" width="7.88671875" customWidth="1"/>
    <col min="1294" max="1294" width="8.109375" customWidth="1"/>
    <col min="1537" max="1538" width="7.33203125" customWidth="1"/>
    <col min="1539" max="1539" width="7.77734375" customWidth="1"/>
    <col min="1540" max="1540" width="9.33203125" customWidth="1"/>
    <col min="1541" max="1541" width="11.5546875" bestFit="1" customWidth="1"/>
    <col min="1542" max="1542" width="7.77734375" customWidth="1"/>
    <col min="1543" max="1543" width="8" customWidth="1"/>
    <col min="1544" max="1544" width="8.33203125" customWidth="1"/>
    <col min="1545" max="1545" width="7.33203125" customWidth="1"/>
    <col min="1546" max="1546" width="9.77734375" customWidth="1"/>
    <col min="1547" max="1548" width="9.88671875" bestFit="1" customWidth="1"/>
    <col min="1549" max="1549" width="7.88671875" customWidth="1"/>
    <col min="1550" max="1550" width="8.109375" customWidth="1"/>
    <col min="1793" max="1794" width="7.33203125" customWidth="1"/>
    <col min="1795" max="1795" width="7.77734375" customWidth="1"/>
    <col min="1796" max="1796" width="9.33203125" customWidth="1"/>
    <col min="1797" max="1797" width="11.5546875" bestFit="1" customWidth="1"/>
    <col min="1798" max="1798" width="7.77734375" customWidth="1"/>
    <col min="1799" max="1799" width="8" customWidth="1"/>
    <col min="1800" max="1800" width="8.33203125" customWidth="1"/>
    <col min="1801" max="1801" width="7.33203125" customWidth="1"/>
    <col min="1802" max="1802" width="9.77734375" customWidth="1"/>
    <col min="1803" max="1804" width="9.88671875" bestFit="1" customWidth="1"/>
    <col min="1805" max="1805" width="7.88671875" customWidth="1"/>
    <col min="1806" max="1806" width="8.109375" customWidth="1"/>
    <col min="2049" max="2050" width="7.33203125" customWidth="1"/>
    <col min="2051" max="2051" width="7.77734375" customWidth="1"/>
    <col min="2052" max="2052" width="9.33203125" customWidth="1"/>
    <col min="2053" max="2053" width="11.5546875" bestFit="1" customWidth="1"/>
    <col min="2054" max="2054" width="7.77734375" customWidth="1"/>
    <col min="2055" max="2055" width="8" customWidth="1"/>
    <col min="2056" max="2056" width="8.33203125" customWidth="1"/>
    <col min="2057" max="2057" width="7.33203125" customWidth="1"/>
    <col min="2058" max="2058" width="9.77734375" customWidth="1"/>
    <col min="2059" max="2060" width="9.88671875" bestFit="1" customWidth="1"/>
    <col min="2061" max="2061" width="7.88671875" customWidth="1"/>
    <col min="2062" max="2062" width="8.109375" customWidth="1"/>
    <col min="2305" max="2306" width="7.33203125" customWidth="1"/>
    <col min="2307" max="2307" width="7.77734375" customWidth="1"/>
    <col min="2308" max="2308" width="9.33203125" customWidth="1"/>
    <col min="2309" max="2309" width="11.5546875" bestFit="1" customWidth="1"/>
    <col min="2310" max="2310" width="7.77734375" customWidth="1"/>
    <col min="2311" max="2311" width="8" customWidth="1"/>
    <col min="2312" max="2312" width="8.33203125" customWidth="1"/>
    <col min="2313" max="2313" width="7.33203125" customWidth="1"/>
    <col min="2314" max="2314" width="9.77734375" customWidth="1"/>
    <col min="2315" max="2316" width="9.88671875" bestFit="1" customWidth="1"/>
    <col min="2317" max="2317" width="7.88671875" customWidth="1"/>
    <col min="2318" max="2318" width="8.109375" customWidth="1"/>
    <col min="2561" max="2562" width="7.33203125" customWidth="1"/>
    <col min="2563" max="2563" width="7.77734375" customWidth="1"/>
    <col min="2564" max="2564" width="9.33203125" customWidth="1"/>
    <col min="2565" max="2565" width="11.5546875" bestFit="1" customWidth="1"/>
    <col min="2566" max="2566" width="7.77734375" customWidth="1"/>
    <col min="2567" max="2567" width="8" customWidth="1"/>
    <col min="2568" max="2568" width="8.33203125" customWidth="1"/>
    <col min="2569" max="2569" width="7.33203125" customWidth="1"/>
    <col min="2570" max="2570" width="9.77734375" customWidth="1"/>
    <col min="2571" max="2572" width="9.88671875" bestFit="1" customWidth="1"/>
    <col min="2573" max="2573" width="7.88671875" customWidth="1"/>
    <col min="2574" max="2574" width="8.109375" customWidth="1"/>
    <col min="2817" max="2818" width="7.33203125" customWidth="1"/>
    <col min="2819" max="2819" width="7.77734375" customWidth="1"/>
    <col min="2820" max="2820" width="9.33203125" customWidth="1"/>
    <col min="2821" max="2821" width="11.5546875" bestFit="1" customWidth="1"/>
    <col min="2822" max="2822" width="7.77734375" customWidth="1"/>
    <col min="2823" max="2823" width="8" customWidth="1"/>
    <col min="2824" max="2824" width="8.33203125" customWidth="1"/>
    <col min="2825" max="2825" width="7.33203125" customWidth="1"/>
    <col min="2826" max="2826" width="9.77734375" customWidth="1"/>
    <col min="2827" max="2828" width="9.88671875" bestFit="1" customWidth="1"/>
    <col min="2829" max="2829" width="7.88671875" customWidth="1"/>
    <col min="2830" max="2830" width="8.109375" customWidth="1"/>
    <col min="3073" max="3074" width="7.33203125" customWidth="1"/>
    <col min="3075" max="3075" width="7.77734375" customWidth="1"/>
    <col min="3076" max="3076" width="9.33203125" customWidth="1"/>
    <col min="3077" max="3077" width="11.5546875" bestFit="1" customWidth="1"/>
    <col min="3078" max="3078" width="7.77734375" customWidth="1"/>
    <col min="3079" max="3079" width="8" customWidth="1"/>
    <col min="3080" max="3080" width="8.33203125" customWidth="1"/>
    <col min="3081" max="3081" width="7.33203125" customWidth="1"/>
    <col min="3082" max="3082" width="9.77734375" customWidth="1"/>
    <col min="3083" max="3084" width="9.88671875" bestFit="1" customWidth="1"/>
    <col min="3085" max="3085" width="7.88671875" customWidth="1"/>
    <col min="3086" max="3086" width="8.109375" customWidth="1"/>
    <col min="3329" max="3330" width="7.33203125" customWidth="1"/>
    <col min="3331" max="3331" width="7.77734375" customWidth="1"/>
    <col min="3332" max="3332" width="9.33203125" customWidth="1"/>
    <col min="3333" max="3333" width="11.5546875" bestFit="1" customWidth="1"/>
    <col min="3334" max="3334" width="7.77734375" customWidth="1"/>
    <col min="3335" max="3335" width="8" customWidth="1"/>
    <col min="3336" max="3336" width="8.33203125" customWidth="1"/>
    <col min="3337" max="3337" width="7.33203125" customWidth="1"/>
    <col min="3338" max="3338" width="9.77734375" customWidth="1"/>
    <col min="3339" max="3340" width="9.88671875" bestFit="1" customWidth="1"/>
    <col min="3341" max="3341" width="7.88671875" customWidth="1"/>
    <col min="3342" max="3342" width="8.109375" customWidth="1"/>
    <col min="3585" max="3586" width="7.33203125" customWidth="1"/>
    <col min="3587" max="3587" width="7.77734375" customWidth="1"/>
    <col min="3588" max="3588" width="9.33203125" customWidth="1"/>
    <col min="3589" max="3589" width="11.5546875" bestFit="1" customWidth="1"/>
    <col min="3590" max="3590" width="7.77734375" customWidth="1"/>
    <col min="3591" max="3591" width="8" customWidth="1"/>
    <col min="3592" max="3592" width="8.33203125" customWidth="1"/>
    <col min="3593" max="3593" width="7.33203125" customWidth="1"/>
    <col min="3594" max="3594" width="9.77734375" customWidth="1"/>
    <col min="3595" max="3596" width="9.88671875" bestFit="1" customWidth="1"/>
    <col min="3597" max="3597" width="7.88671875" customWidth="1"/>
    <col min="3598" max="3598" width="8.109375" customWidth="1"/>
    <col min="3841" max="3842" width="7.33203125" customWidth="1"/>
    <col min="3843" max="3843" width="7.77734375" customWidth="1"/>
    <col min="3844" max="3844" width="9.33203125" customWidth="1"/>
    <col min="3845" max="3845" width="11.5546875" bestFit="1" customWidth="1"/>
    <col min="3846" max="3846" width="7.77734375" customWidth="1"/>
    <col min="3847" max="3847" width="8" customWidth="1"/>
    <col min="3848" max="3848" width="8.33203125" customWidth="1"/>
    <col min="3849" max="3849" width="7.33203125" customWidth="1"/>
    <col min="3850" max="3850" width="9.77734375" customWidth="1"/>
    <col min="3851" max="3852" width="9.88671875" bestFit="1" customWidth="1"/>
    <col min="3853" max="3853" width="7.88671875" customWidth="1"/>
    <col min="3854" max="3854" width="8.109375" customWidth="1"/>
    <col min="4097" max="4098" width="7.33203125" customWidth="1"/>
    <col min="4099" max="4099" width="7.77734375" customWidth="1"/>
    <col min="4100" max="4100" width="9.33203125" customWidth="1"/>
    <col min="4101" max="4101" width="11.5546875" bestFit="1" customWidth="1"/>
    <col min="4102" max="4102" width="7.77734375" customWidth="1"/>
    <col min="4103" max="4103" width="8" customWidth="1"/>
    <col min="4104" max="4104" width="8.33203125" customWidth="1"/>
    <col min="4105" max="4105" width="7.33203125" customWidth="1"/>
    <col min="4106" max="4106" width="9.77734375" customWidth="1"/>
    <col min="4107" max="4108" width="9.88671875" bestFit="1" customWidth="1"/>
    <col min="4109" max="4109" width="7.88671875" customWidth="1"/>
    <col min="4110" max="4110" width="8.109375" customWidth="1"/>
    <col min="4353" max="4354" width="7.33203125" customWidth="1"/>
    <col min="4355" max="4355" width="7.77734375" customWidth="1"/>
    <col min="4356" max="4356" width="9.33203125" customWidth="1"/>
    <col min="4357" max="4357" width="11.5546875" bestFit="1" customWidth="1"/>
    <col min="4358" max="4358" width="7.77734375" customWidth="1"/>
    <col min="4359" max="4359" width="8" customWidth="1"/>
    <col min="4360" max="4360" width="8.33203125" customWidth="1"/>
    <col min="4361" max="4361" width="7.33203125" customWidth="1"/>
    <col min="4362" max="4362" width="9.77734375" customWidth="1"/>
    <col min="4363" max="4364" width="9.88671875" bestFit="1" customWidth="1"/>
    <col min="4365" max="4365" width="7.88671875" customWidth="1"/>
    <col min="4366" max="4366" width="8.109375" customWidth="1"/>
    <col min="4609" max="4610" width="7.33203125" customWidth="1"/>
    <col min="4611" max="4611" width="7.77734375" customWidth="1"/>
    <col min="4612" max="4612" width="9.33203125" customWidth="1"/>
    <col min="4613" max="4613" width="11.5546875" bestFit="1" customWidth="1"/>
    <col min="4614" max="4614" width="7.77734375" customWidth="1"/>
    <col min="4615" max="4615" width="8" customWidth="1"/>
    <col min="4616" max="4616" width="8.33203125" customWidth="1"/>
    <col min="4617" max="4617" width="7.33203125" customWidth="1"/>
    <col min="4618" max="4618" width="9.77734375" customWidth="1"/>
    <col min="4619" max="4620" width="9.88671875" bestFit="1" customWidth="1"/>
    <col min="4621" max="4621" width="7.88671875" customWidth="1"/>
    <col min="4622" max="4622" width="8.109375" customWidth="1"/>
    <col min="4865" max="4866" width="7.33203125" customWidth="1"/>
    <col min="4867" max="4867" width="7.77734375" customWidth="1"/>
    <col min="4868" max="4868" width="9.33203125" customWidth="1"/>
    <col min="4869" max="4869" width="11.5546875" bestFit="1" customWidth="1"/>
    <col min="4870" max="4870" width="7.77734375" customWidth="1"/>
    <col min="4871" max="4871" width="8" customWidth="1"/>
    <col min="4872" max="4872" width="8.33203125" customWidth="1"/>
    <col min="4873" max="4873" width="7.33203125" customWidth="1"/>
    <col min="4874" max="4874" width="9.77734375" customWidth="1"/>
    <col min="4875" max="4876" width="9.88671875" bestFit="1" customWidth="1"/>
    <col min="4877" max="4877" width="7.88671875" customWidth="1"/>
    <col min="4878" max="4878" width="8.109375" customWidth="1"/>
    <col min="5121" max="5122" width="7.33203125" customWidth="1"/>
    <col min="5123" max="5123" width="7.77734375" customWidth="1"/>
    <col min="5124" max="5124" width="9.33203125" customWidth="1"/>
    <col min="5125" max="5125" width="11.5546875" bestFit="1" customWidth="1"/>
    <col min="5126" max="5126" width="7.77734375" customWidth="1"/>
    <col min="5127" max="5127" width="8" customWidth="1"/>
    <col min="5128" max="5128" width="8.33203125" customWidth="1"/>
    <col min="5129" max="5129" width="7.33203125" customWidth="1"/>
    <col min="5130" max="5130" width="9.77734375" customWidth="1"/>
    <col min="5131" max="5132" width="9.88671875" bestFit="1" customWidth="1"/>
    <col min="5133" max="5133" width="7.88671875" customWidth="1"/>
    <col min="5134" max="5134" width="8.109375" customWidth="1"/>
    <col min="5377" max="5378" width="7.33203125" customWidth="1"/>
    <col min="5379" max="5379" width="7.77734375" customWidth="1"/>
    <col min="5380" max="5380" width="9.33203125" customWidth="1"/>
    <col min="5381" max="5381" width="11.5546875" bestFit="1" customWidth="1"/>
    <col min="5382" max="5382" width="7.77734375" customWidth="1"/>
    <col min="5383" max="5383" width="8" customWidth="1"/>
    <col min="5384" max="5384" width="8.33203125" customWidth="1"/>
    <col min="5385" max="5385" width="7.33203125" customWidth="1"/>
    <col min="5386" max="5386" width="9.77734375" customWidth="1"/>
    <col min="5387" max="5388" width="9.88671875" bestFit="1" customWidth="1"/>
    <col min="5389" max="5389" width="7.88671875" customWidth="1"/>
    <col min="5390" max="5390" width="8.109375" customWidth="1"/>
    <col min="5633" max="5634" width="7.33203125" customWidth="1"/>
    <col min="5635" max="5635" width="7.77734375" customWidth="1"/>
    <col min="5636" max="5636" width="9.33203125" customWidth="1"/>
    <col min="5637" max="5637" width="11.5546875" bestFit="1" customWidth="1"/>
    <col min="5638" max="5638" width="7.77734375" customWidth="1"/>
    <col min="5639" max="5639" width="8" customWidth="1"/>
    <col min="5640" max="5640" width="8.33203125" customWidth="1"/>
    <col min="5641" max="5641" width="7.33203125" customWidth="1"/>
    <col min="5642" max="5642" width="9.77734375" customWidth="1"/>
    <col min="5643" max="5644" width="9.88671875" bestFit="1" customWidth="1"/>
    <col min="5645" max="5645" width="7.88671875" customWidth="1"/>
    <col min="5646" max="5646" width="8.109375" customWidth="1"/>
    <col min="5889" max="5890" width="7.33203125" customWidth="1"/>
    <col min="5891" max="5891" width="7.77734375" customWidth="1"/>
    <col min="5892" max="5892" width="9.33203125" customWidth="1"/>
    <col min="5893" max="5893" width="11.5546875" bestFit="1" customWidth="1"/>
    <col min="5894" max="5894" width="7.77734375" customWidth="1"/>
    <col min="5895" max="5895" width="8" customWidth="1"/>
    <col min="5896" max="5896" width="8.33203125" customWidth="1"/>
    <col min="5897" max="5897" width="7.33203125" customWidth="1"/>
    <col min="5898" max="5898" width="9.77734375" customWidth="1"/>
    <col min="5899" max="5900" width="9.88671875" bestFit="1" customWidth="1"/>
    <col min="5901" max="5901" width="7.88671875" customWidth="1"/>
    <col min="5902" max="5902" width="8.109375" customWidth="1"/>
    <col min="6145" max="6146" width="7.33203125" customWidth="1"/>
    <col min="6147" max="6147" width="7.77734375" customWidth="1"/>
    <col min="6148" max="6148" width="9.33203125" customWidth="1"/>
    <col min="6149" max="6149" width="11.5546875" bestFit="1" customWidth="1"/>
    <col min="6150" max="6150" width="7.77734375" customWidth="1"/>
    <col min="6151" max="6151" width="8" customWidth="1"/>
    <col min="6152" max="6152" width="8.33203125" customWidth="1"/>
    <col min="6153" max="6153" width="7.33203125" customWidth="1"/>
    <col min="6154" max="6154" width="9.77734375" customWidth="1"/>
    <col min="6155" max="6156" width="9.88671875" bestFit="1" customWidth="1"/>
    <col min="6157" max="6157" width="7.88671875" customWidth="1"/>
    <col min="6158" max="6158" width="8.109375" customWidth="1"/>
    <col min="6401" max="6402" width="7.33203125" customWidth="1"/>
    <col min="6403" max="6403" width="7.77734375" customWidth="1"/>
    <col min="6404" max="6404" width="9.33203125" customWidth="1"/>
    <col min="6405" max="6405" width="11.5546875" bestFit="1" customWidth="1"/>
    <col min="6406" max="6406" width="7.77734375" customWidth="1"/>
    <col min="6407" max="6407" width="8" customWidth="1"/>
    <col min="6408" max="6408" width="8.33203125" customWidth="1"/>
    <col min="6409" max="6409" width="7.33203125" customWidth="1"/>
    <col min="6410" max="6410" width="9.77734375" customWidth="1"/>
    <col min="6411" max="6412" width="9.88671875" bestFit="1" customWidth="1"/>
    <col min="6413" max="6413" width="7.88671875" customWidth="1"/>
    <col min="6414" max="6414" width="8.109375" customWidth="1"/>
    <col min="6657" max="6658" width="7.33203125" customWidth="1"/>
    <col min="6659" max="6659" width="7.77734375" customWidth="1"/>
    <col min="6660" max="6660" width="9.33203125" customWidth="1"/>
    <col min="6661" max="6661" width="11.5546875" bestFit="1" customWidth="1"/>
    <col min="6662" max="6662" width="7.77734375" customWidth="1"/>
    <col min="6663" max="6663" width="8" customWidth="1"/>
    <col min="6664" max="6664" width="8.33203125" customWidth="1"/>
    <col min="6665" max="6665" width="7.33203125" customWidth="1"/>
    <col min="6666" max="6666" width="9.77734375" customWidth="1"/>
    <col min="6667" max="6668" width="9.88671875" bestFit="1" customWidth="1"/>
    <col min="6669" max="6669" width="7.88671875" customWidth="1"/>
    <col min="6670" max="6670" width="8.109375" customWidth="1"/>
    <col min="6913" max="6914" width="7.33203125" customWidth="1"/>
    <col min="6915" max="6915" width="7.77734375" customWidth="1"/>
    <col min="6916" max="6916" width="9.33203125" customWidth="1"/>
    <col min="6917" max="6917" width="11.5546875" bestFit="1" customWidth="1"/>
    <col min="6918" max="6918" width="7.77734375" customWidth="1"/>
    <col min="6919" max="6919" width="8" customWidth="1"/>
    <col min="6920" max="6920" width="8.33203125" customWidth="1"/>
    <col min="6921" max="6921" width="7.33203125" customWidth="1"/>
    <col min="6922" max="6922" width="9.77734375" customWidth="1"/>
    <col min="6923" max="6924" width="9.88671875" bestFit="1" customWidth="1"/>
    <col min="6925" max="6925" width="7.88671875" customWidth="1"/>
    <col min="6926" max="6926" width="8.109375" customWidth="1"/>
    <col min="7169" max="7170" width="7.33203125" customWidth="1"/>
    <col min="7171" max="7171" width="7.77734375" customWidth="1"/>
    <col min="7172" max="7172" width="9.33203125" customWidth="1"/>
    <col min="7173" max="7173" width="11.5546875" bestFit="1" customWidth="1"/>
    <col min="7174" max="7174" width="7.77734375" customWidth="1"/>
    <col min="7175" max="7175" width="8" customWidth="1"/>
    <col min="7176" max="7176" width="8.33203125" customWidth="1"/>
    <col min="7177" max="7177" width="7.33203125" customWidth="1"/>
    <col min="7178" max="7178" width="9.77734375" customWidth="1"/>
    <col min="7179" max="7180" width="9.88671875" bestFit="1" customWidth="1"/>
    <col min="7181" max="7181" width="7.88671875" customWidth="1"/>
    <col min="7182" max="7182" width="8.109375" customWidth="1"/>
    <col min="7425" max="7426" width="7.33203125" customWidth="1"/>
    <col min="7427" max="7427" width="7.77734375" customWidth="1"/>
    <col min="7428" max="7428" width="9.33203125" customWidth="1"/>
    <col min="7429" max="7429" width="11.5546875" bestFit="1" customWidth="1"/>
    <col min="7430" max="7430" width="7.77734375" customWidth="1"/>
    <col min="7431" max="7431" width="8" customWidth="1"/>
    <col min="7432" max="7432" width="8.33203125" customWidth="1"/>
    <col min="7433" max="7433" width="7.33203125" customWidth="1"/>
    <col min="7434" max="7434" width="9.77734375" customWidth="1"/>
    <col min="7435" max="7436" width="9.88671875" bestFit="1" customWidth="1"/>
    <col min="7437" max="7437" width="7.88671875" customWidth="1"/>
    <col min="7438" max="7438" width="8.109375" customWidth="1"/>
    <col min="7681" max="7682" width="7.33203125" customWidth="1"/>
    <col min="7683" max="7683" width="7.77734375" customWidth="1"/>
    <col min="7684" max="7684" width="9.33203125" customWidth="1"/>
    <col min="7685" max="7685" width="11.5546875" bestFit="1" customWidth="1"/>
    <col min="7686" max="7686" width="7.77734375" customWidth="1"/>
    <col min="7687" max="7687" width="8" customWidth="1"/>
    <col min="7688" max="7688" width="8.33203125" customWidth="1"/>
    <col min="7689" max="7689" width="7.33203125" customWidth="1"/>
    <col min="7690" max="7690" width="9.77734375" customWidth="1"/>
    <col min="7691" max="7692" width="9.88671875" bestFit="1" customWidth="1"/>
    <col min="7693" max="7693" width="7.88671875" customWidth="1"/>
    <col min="7694" max="7694" width="8.109375" customWidth="1"/>
    <col min="7937" max="7938" width="7.33203125" customWidth="1"/>
    <col min="7939" max="7939" width="7.77734375" customWidth="1"/>
    <col min="7940" max="7940" width="9.33203125" customWidth="1"/>
    <col min="7941" max="7941" width="11.5546875" bestFit="1" customWidth="1"/>
    <col min="7942" max="7942" width="7.77734375" customWidth="1"/>
    <col min="7943" max="7943" width="8" customWidth="1"/>
    <col min="7944" max="7944" width="8.33203125" customWidth="1"/>
    <col min="7945" max="7945" width="7.33203125" customWidth="1"/>
    <col min="7946" max="7946" width="9.77734375" customWidth="1"/>
    <col min="7947" max="7948" width="9.88671875" bestFit="1" customWidth="1"/>
    <col min="7949" max="7949" width="7.88671875" customWidth="1"/>
    <col min="7950" max="7950" width="8.109375" customWidth="1"/>
    <col min="8193" max="8194" width="7.33203125" customWidth="1"/>
    <col min="8195" max="8195" width="7.77734375" customWidth="1"/>
    <col min="8196" max="8196" width="9.33203125" customWidth="1"/>
    <col min="8197" max="8197" width="11.5546875" bestFit="1" customWidth="1"/>
    <col min="8198" max="8198" width="7.77734375" customWidth="1"/>
    <col min="8199" max="8199" width="8" customWidth="1"/>
    <col min="8200" max="8200" width="8.33203125" customWidth="1"/>
    <col min="8201" max="8201" width="7.33203125" customWidth="1"/>
    <col min="8202" max="8202" width="9.77734375" customWidth="1"/>
    <col min="8203" max="8204" width="9.88671875" bestFit="1" customWidth="1"/>
    <col min="8205" max="8205" width="7.88671875" customWidth="1"/>
    <col min="8206" max="8206" width="8.109375" customWidth="1"/>
    <col min="8449" max="8450" width="7.33203125" customWidth="1"/>
    <col min="8451" max="8451" width="7.77734375" customWidth="1"/>
    <col min="8452" max="8452" width="9.33203125" customWidth="1"/>
    <col min="8453" max="8453" width="11.5546875" bestFit="1" customWidth="1"/>
    <col min="8454" max="8454" width="7.77734375" customWidth="1"/>
    <col min="8455" max="8455" width="8" customWidth="1"/>
    <col min="8456" max="8456" width="8.33203125" customWidth="1"/>
    <col min="8457" max="8457" width="7.33203125" customWidth="1"/>
    <col min="8458" max="8458" width="9.77734375" customWidth="1"/>
    <col min="8459" max="8460" width="9.88671875" bestFit="1" customWidth="1"/>
    <col min="8461" max="8461" width="7.88671875" customWidth="1"/>
    <col min="8462" max="8462" width="8.109375" customWidth="1"/>
    <col min="8705" max="8706" width="7.33203125" customWidth="1"/>
    <col min="8707" max="8707" width="7.77734375" customWidth="1"/>
    <col min="8708" max="8708" width="9.33203125" customWidth="1"/>
    <col min="8709" max="8709" width="11.5546875" bestFit="1" customWidth="1"/>
    <col min="8710" max="8710" width="7.77734375" customWidth="1"/>
    <col min="8711" max="8711" width="8" customWidth="1"/>
    <col min="8712" max="8712" width="8.33203125" customWidth="1"/>
    <col min="8713" max="8713" width="7.33203125" customWidth="1"/>
    <col min="8714" max="8714" width="9.77734375" customWidth="1"/>
    <col min="8715" max="8716" width="9.88671875" bestFit="1" customWidth="1"/>
    <col min="8717" max="8717" width="7.88671875" customWidth="1"/>
    <col min="8718" max="8718" width="8.109375" customWidth="1"/>
    <col min="8961" max="8962" width="7.33203125" customWidth="1"/>
    <col min="8963" max="8963" width="7.77734375" customWidth="1"/>
    <col min="8964" max="8964" width="9.33203125" customWidth="1"/>
    <col min="8965" max="8965" width="11.5546875" bestFit="1" customWidth="1"/>
    <col min="8966" max="8966" width="7.77734375" customWidth="1"/>
    <col min="8967" max="8967" width="8" customWidth="1"/>
    <col min="8968" max="8968" width="8.33203125" customWidth="1"/>
    <col min="8969" max="8969" width="7.33203125" customWidth="1"/>
    <col min="8970" max="8970" width="9.77734375" customWidth="1"/>
    <col min="8971" max="8972" width="9.88671875" bestFit="1" customWidth="1"/>
    <col min="8973" max="8973" width="7.88671875" customWidth="1"/>
    <col min="8974" max="8974" width="8.109375" customWidth="1"/>
    <col min="9217" max="9218" width="7.33203125" customWidth="1"/>
    <col min="9219" max="9219" width="7.77734375" customWidth="1"/>
    <col min="9220" max="9220" width="9.33203125" customWidth="1"/>
    <col min="9221" max="9221" width="11.5546875" bestFit="1" customWidth="1"/>
    <col min="9222" max="9222" width="7.77734375" customWidth="1"/>
    <col min="9223" max="9223" width="8" customWidth="1"/>
    <col min="9224" max="9224" width="8.33203125" customWidth="1"/>
    <col min="9225" max="9225" width="7.33203125" customWidth="1"/>
    <col min="9226" max="9226" width="9.77734375" customWidth="1"/>
    <col min="9227" max="9228" width="9.88671875" bestFit="1" customWidth="1"/>
    <col min="9229" max="9229" width="7.88671875" customWidth="1"/>
    <col min="9230" max="9230" width="8.109375" customWidth="1"/>
    <col min="9473" max="9474" width="7.33203125" customWidth="1"/>
    <col min="9475" max="9475" width="7.77734375" customWidth="1"/>
    <col min="9476" max="9476" width="9.33203125" customWidth="1"/>
    <col min="9477" max="9477" width="11.5546875" bestFit="1" customWidth="1"/>
    <col min="9478" max="9478" width="7.77734375" customWidth="1"/>
    <col min="9479" max="9479" width="8" customWidth="1"/>
    <col min="9480" max="9480" width="8.33203125" customWidth="1"/>
    <col min="9481" max="9481" width="7.33203125" customWidth="1"/>
    <col min="9482" max="9482" width="9.77734375" customWidth="1"/>
    <col min="9483" max="9484" width="9.88671875" bestFit="1" customWidth="1"/>
    <col min="9485" max="9485" width="7.88671875" customWidth="1"/>
    <col min="9486" max="9486" width="8.109375" customWidth="1"/>
    <col min="9729" max="9730" width="7.33203125" customWidth="1"/>
    <col min="9731" max="9731" width="7.77734375" customWidth="1"/>
    <col min="9732" max="9732" width="9.33203125" customWidth="1"/>
    <col min="9733" max="9733" width="11.5546875" bestFit="1" customWidth="1"/>
    <col min="9734" max="9734" width="7.77734375" customWidth="1"/>
    <col min="9735" max="9735" width="8" customWidth="1"/>
    <col min="9736" max="9736" width="8.33203125" customWidth="1"/>
    <col min="9737" max="9737" width="7.33203125" customWidth="1"/>
    <col min="9738" max="9738" width="9.77734375" customWidth="1"/>
    <col min="9739" max="9740" width="9.88671875" bestFit="1" customWidth="1"/>
    <col min="9741" max="9741" width="7.88671875" customWidth="1"/>
    <col min="9742" max="9742" width="8.109375" customWidth="1"/>
    <col min="9985" max="9986" width="7.33203125" customWidth="1"/>
    <col min="9987" max="9987" width="7.77734375" customWidth="1"/>
    <col min="9988" max="9988" width="9.33203125" customWidth="1"/>
    <col min="9989" max="9989" width="11.5546875" bestFit="1" customWidth="1"/>
    <col min="9990" max="9990" width="7.77734375" customWidth="1"/>
    <col min="9991" max="9991" width="8" customWidth="1"/>
    <col min="9992" max="9992" width="8.33203125" customWidth="1"/>
    <col min="9993" max="9993" width="7.33203125" customWidth="1"/>
    <col min="9994" max="9994" width="9.77734375" customWidth="1"/>
    <col min="9995" max="9996" width="9.88671875" bestFit="1" customWidth="1"/>
    <col min="9997" max="9997" width="7.88671875" customWidth="1"/>
    <col min="9998" max="9998" width="8.109375" customWidth="1"/>
    <col min="10241" max="10242" width="7.33203125" customWidth="1"/>
    <col min="10243" max="10243" width="7.77734375" customWidth="1"/>
    <col min="10244" max="10244" width="9.33203125" customWidth="1"/>
    <col min="10245" max="10245" width="11.5546875" bestFit="1" customWidth="1"/>
    <col min="10246" max="10246" width="7.77734375" customWidth="1"/>
    <col min="10247" max="10247" width="8" customWidth="1"/>
    <col min="10248" max="10248" width="8.33203125" customWidth="1"/>
    <col min="10249" max="10249" width="7.33203125" customWidth="1"/>
    <col min="10250" max="10250" width="9.77734375" customWidth="1"/>
    <col min="10251" max="10252" width="9.88671875" bestFit="1" customWidth="1"/>
    <col min="10253" max="10253" width="7.88671875" customWidth="1"/>
    <col min="10254" max="10254" width="8.109375" customWidth="1"/>
    <col min="10497" max="10498" width="7.33203125" customWidth="1"/>
    <col min="10499" max="10499" width="7.77734375" customWidth="1"/>
    <col min="10500" max="10500" width="9.33203125" customWidth="1"/>
    <col min="10501" max="10501" width="11.5546875" bestFit="1" customWidth="1"/>
    <col min="10502" max="10502" width="7.77734375" customWidth="1"/>
    <col min="10503" max="10503" width="8" customWidth="1"/>
    <col min="10504" max="10504" width="8.33203125" customWidth="1"/>
    <col min="10505" max="10505" width="7.33203125" customWidth="1"/>
    <col min="10506" max="10506" width="9.77734375" customWidth="1"/>
    <col min="10507" max="10508" width="9.88671875" bestFit="1" customWidth="1"/>
    <col min="10509" max="10509" width="7.88671875" customWidth="1"/>
    <col min="10510" max="10510" width="8.109375" customWidth="1"/>
    <col min="10753" max="10754" width="7.33203125" customWidth="1"/>
    <col min="10755" max="10755" width="7.77734375" customWidth="1"/>
    <col min="10756" max="10756" width="9.33203125" customWidth="1"/>
    <col min="10757" max="10757" width="11.5546875" bestFit="1" customWidth="1"/>
    <col min="10758" max="10758" width="7.77734375" customWidth="1"/>
    <col min="10759" max="10759" width="8" customWidth="1"/>
    <col min="10760" max="10760" width="8.33203125" customWidth="1"/>
    <col min="10761" max="10761" width="7.33203125" customWidth="1"/>
    <col min="10762" max="10762" width="9.77734375" customWidth="1"/>
    <col min="10763" max="10764" width="9.88671875" bestFit="1" customWidth="1"/>
    <col min="10765" max="10765" width="7.88671875" customWidth="1"/>
    <col min="10766" max="10766" width="8.109375" customWidth="1"/>
    <col min="11009" max="11010" width="7.33203125" customWidth="1"/>
    <col min="11011" max="11011" width="7.77734375" customWidth="1"/>
    <col min="11012" max="11012" width="9.33203125" customWidth="1"/>
    <col min="11013" max="11013" width="11.5546875" bestFit="1" customWidth="1"/>
    <col min="11014" max="11014" width="7.77734375" customWidth="1"/>
    <col min="11015" max="11015" width="8" customWidth="1"/>
    <col min="11016" max="11016" width="8.33203125" customWidth="1"/>
    <col min="11017" max="11017" width="7.33203125" customWidth="1"/>
    <col min="11018" max="11018" width="9.77734375" customWidth="1"/>
    <col min="11019" max="11020" width="9.88671875" bestFit="1" customWidth="1"/>
    <col min="11021" max="11021" width="7.88671875" customWidth="1"/>
    <col min="11022" max="11022" width="8.109375" customWidth="1"/>
    <col min="11265" max="11266" width="7.33203125" customWidth="1"/>
    <col min="11267" max="11267" width="7.77734375" customWidth="1"/>
    <col min="11268" max="11268" width="9.33203125" customWidth="1"/>
    <col min="11269" max="11269" width="11.5546875" bestFit="1" customWidth="1"/>
    <col min="11270" max="11270" width="7.77734375" customWidth="1"/>
    <col min="11271" max="11271" width="8" customWidth="1"/>
    <col min="11272" max="11272" width="8.33203125" customWidth="1"/>
    <col min="11273" max="11273" width="7.33203125" customWidth="1"/>
    <col min="11274" max="11274" width="9.77734375" customWidth="1"/>
    <col min="11275" max="11276" width="9.88671875" bestFit="1" customWidth="1"/>
    <col min="11277" max="11277" width="7.88671875" customWidth="1"/>
    <col min="11278" max="11278" width="8.109375" customWidth="1"/>
    <col min="11521" max="11522" width="7.33203125" customWidth="1"/>
    <col min="11523" max="11523" width="7.77734375" customWidth="1"/>
    <col min="11524" max="11524" width="9.33203125" customWidth="1"/>
    <col min="11525" max="11525" width="11.5546875" bestFit="1" customWidth="1"/>
    <col min="11526" max="11526" width="7.77734375" customWidth="1"/>
    <col min="11527" max="11527" width="8" customWidth="1"/>
    <col min="11528" max="11528" width="8.33203125" customWidth="1"/>
    <col min="11529" max="11529" width="7.33203125" customWidth="1"/>
    <col min="11530" max="11530" width="9.77734375" customWidth="1"/>
    <col min="11531" max="11532" width="9.88671875" bestFit="1" customWidth="1"/>
    <col min="11533" max="11533" width="7.88671875" customWidth="1"/>
    <col min="11534" max="11534" width="8.109375" customWidth="1"/>
    <col min="11777" max="11778" width="7.33203125" customWidth="1"/>
    <col min="11779" max="11779" width="7.77734375" customWidth="1"/>
    <col min="11780" max="11780" width="9.33203125" customWidth="1"/>
    <col min="11781" max="11781" width="11.5546875" bestFit="1" customWidth="1"/>
    <col min="11782" max="11782" width="7.77734375" customWidth="1"/>
    <col min="11783" max="11783" width="8" customWidth="1"/>
    <col min="11784" max="11784" width="8.33203125" customWidth="1"/>
    <col min="11785" max="11785" width="7.33203125" customWidth="1"/>
    <col min="11786" max="11786" width="9.77734375" customWidth="1"/>
    <col min="11787" max="11788" width="9.88671875" bestFit="1" customWidth="1"/>
    <col min="11789" max="11789" width="7.88671875" customWidth="1"/>
    <col min="11790" max="11790" width="8.109375" customWidth="1"/>
    <col min="12033" max="12034" width="7.33203125" customWidth="1"/>
    <col min="12035" max="12035" width="7.77734375" customWidth="1"/>
    <col min="12036" max="12036" width="9.33203125" customWidth="1"/>
    <col min="12037" max="12037" width="11.5546875" bestFit="1" customWidth="1"/>
    <col min="12038" max="12038" width="7.77734375" customWidth="1"/>
    <col min="12039" max="12039" width="8" customWidth="1"/>
    <col min="12040" max="12040" width="8.33203125" customWidth="1"/>
    <col min="12041" max="12041" width="7.33203125" customWidth="1"/>
    <col min="12042" max="12042" width="9.77734375" customWidth="1"/>
    <col min="12043" max="12044" width="9.88671875" bestFit="1" customWidth="1"/>
    <col min="12045" max="12045" width="7.88671875" customWidth="1"/>
    <col min="12046" max="12046" width="8.109375" customWidth="1"/>
    <col min="12289" max="12290" width="7.33203125" customWidth="1"/>
    <col min="12291" max="12291" width="7.77734375" customWidth="1"/>
    <col min="12292" max="12292" width="9.33203125" customWidth="1"/>
    <col min="12293" max="12293" width="11.5546875" bestFit="1" customWidth="1"/>
    <col min="12294" max="12294" width="7.77734375" customWidth="1"/>
    <col min="12295" max="12295" width="8" customWidth="1"/>
    <col min="12296" max="12296" width="8.33203125" customWidth="1"/>
    <col min="12297" max="12297" width="7.33203125" customWidth="1"/>
    <col min="12298" max="12298" width="9.77734375" customWidth="1"/>
    <col min="12299" max="12300" width="9.88671875" bestFit="1" customWidth="1"/>
    <col min="12301" max="12301" width="7.88671875" customWidth="1"/>
    <col min="12302" max="12302" width="8.109375" customWidth="1"/>
    <col min="12545" max="12546" width="7.33203125" customWidth="1"/>
    <col min="12547" max="12547" width="7.77734375" customWidth="1"/>
    <col min="12548" max="12548" width="9.33203125" customWidth="1"/>
    <col min="12549" max="12549" width="11.5546875" bestFit="1" customWidth="1"/>
    <col min="12550" max="12550" width="7.77734375" customWidth="1"/>
    <col min="12551" max="12551" width="8" customWidth="1"/>
    <col min="12552" max="12552" width="8.33203125" customWidth="1"/>
    <col min="12553" max="12553" width="7.33203125" customWidth="1"/>
    <col min="12554" max="12554" width="9.77734375" customWidth="1"/>
    <col min="12555" max="12556" width="9.88671875" bestFit="1" customWidth="1"/>
    <col min="12557" max="12557" width="7.88671875" customWidth="1"/>
    <col min="12558" max="12558" width="8.109375" customWidth="1"/>
    <col min="12801" max="12802" width="7.33203125" customWidth="1"/>
    <col min="12803" max="12803" width="7.77734375" customWidth="1"/>
    <col min="12804" max="12804" width="9.33203125" customWidth="1"/>
    <col min="12805" max="12805" width="11.5546875" bestFit="1" customWidth="1"/>
    <col min="12806" max="12806" width="7.77734375" customWidth="1"/>
    <col min="12807" max="12807" width="8" customWidth="1"/>
    <col min="12808" max="12808" width="8.33203125" customWidth="1"/>
    <col min="12809" max="12809" width="7.33203125" customWidth="1"/>
    <col min="12810" max="12810" width="9.77734375" customWidth="1"/>
    <col min="12811" max="12812" width="9.88671875" bestFit="1" customWidth="1"/>
    <col min="12813" max="12813" width="7.88671875" customWidth="1"/>
    <col min="12814" max="12814" width="8.109375" customWidth="1"/>
    <col min="13057" max="13058" width="7.33203125" customWidth="1"/>
    <col min="13059" max="13059" width="7.77734375" customWidth="1"/>
    <col min="13060" max="13060" width="9.33203125" customWidth="1"/>
    <col min="13061" max="13061" width="11.5546875" bestFit="1" customWidth="1"/>
    <col min="13062" max="13062" width="7.77734375" customWidth="1"/>
    <col min="13063" max="13063" width="8" customWidth="1"/>
    <col min="13064" max="13064" width="8.33203125" customWidth="1"/>
    <col min="13065" max="13065" width="7.33203125" customWidth="1"/>
    <col min="13066" max="13066" width="9.77734375" customWidth="1"/>
    <col min="13067" max="13068" width="9.88671875" bestFit="1" customWidth="1"/>
    <col min="13069" max="13069" width="7.88671875" customWidth="1"/>
    <col min="13070" max="13070" width="8.109375" customWidth="1"/>
    <col min="13313" max="13314" width="7.33203125" customWidth="1"/>
    <col min="13315" max="13315" width="7.77734375" customWidth="1"/>
    <col min="13316" max="13316" width="9.33203125" customWidth="1"/>
    <col min="13317" max="13317" width="11.5546875" bestFit="1" customWidth="1"/>
    <col min="13318" max="13318" width="7.77734375" customWidth="1"/>
    <col min="13319" max="13319" width="8" customWidth="1"/>
    <col min="13320" max="13320" width="8.33203125" customWidth="1"/>
    <col min="13321" max="13321" width="7.33203125" customWidth="1"/>
    <col min="13322" max="13322" width="9.77734375" customWidth="1"/>
    <col min="13323" max="13324" width="9.88671875" bestFit="1" customWidth="1"/>
    <col min="13325" max="13325" width="7.88671875" customWidth="1"/>
    <col min="13326" max="13326" width="8.109375" customWidth="1"/>
    <col min="13569" max="13570" width="7.33203125" customWidth="1"/>
    <col min="13571" max="13571" width="7.77734375" customWidth="1"/>
    <col min="13572" max="13572" width="9.33203125" customWidth="1"/>
    <col min="13573" max="13573" width="11.5546875" bestFit="1" customWidth="1"/>
    <col min="13574" max="13574" width="7.77734375" customWidth="1"/>
    <col min="13575" max="13575" width="8" customWidth="1"/>
    <col min="13576" max="13576" width="8.33203125" customWidth="1"/>
    <col min="13577" max="13577" width="7.33203125" customWidth="1"/>
    <col min="13578" max="13578" width="9.77734375" customWidth="1"/>
    <col min="13579" max="13580" width="9.88671875" bestFit="1" customWidth="1"/>
    <col min="13581" max="13581" width="7.88671875" customWidth="1"/>
    <col min="13582" max="13582" width="8.109375" customWidth="1"/>
    <col min="13825" max="13826" width="7.33203125" customWidth="1"/>
    <col min="13827" max="13827" width="7.77734375" customWidth="1"/>
    <col min="13828" max="13828" width="9.33203125" customWidth="1"/>
    <col min="13829" max="13829" width="11.5546875" bestFit="1" customWidth="1"/>
    <col min="13830" max="13830" width="7.77734375" customWidth="1"/>
    <col min="13831" max="13831" width="8" customWidth="1"/>
    <col min="13832" max="13832" width="8.33203125" customWidth="1"/>
    <col min="13833" max="13833" width="7.33203125" customWidth="1"/>
    <col min="13834" max="13834" width="9.77734375" customWidth="1"/>
    <col min="13835" max="13836" width="9.88671875" bestFit="1" customWidth="1"/>
    <col min="13837" max="13837" width="7.88671875" customWidth="1"/>
    <col min="13838" max="13838" width="8.109375" customWidth="1"/>
    <col min="14081" max="14082" width="7.33203125" customWidth="1"/>
    <col min="14083" max="14083" width="7.77734375" customWidth="1"/>
    <col min="14084" max="14084" width="9.33203125" customWidth="1"/>
    <col min="14085" max="14085" width="11.5546875" bestFit="1" customWidth="1"/>
    <col min="14086" max="14086" width="7.77734375" customWidth="1"/>
    <col min="14087" max="14087" width="8" customWidth="1"/>
    <col min="14088" max="14088" width="8.33203125" customWidth="1"/>
    <col min="14089" max="14089" width="7.33203125" customWidth="1"/>
    <col min="14090" max="14090" width="9.77734375" customWidth="1"/>
    <col min="14091" max="14092" width="9.88671875" bestFit="1" customWidth="1"/>
    <col min="14093" max="14093" width="7.88671875" customWidth="1"/>
    <col min="14094" max="14094" width="8.109375" customWidth="1"/>
    <col min="14337" max="14338" width="7.33203125" customWidth="1"/>
    <col min="14339" max="14339" width="7.77734375" customWidth="1"/>
    <col min="14340" max="14340" width="9.33203125" customWidth="1"/>
    <col min="14341" max="14341" width="11.5546875" bestFit="1" customWidth="1"/>
    <col min="14342" max="14342" width="7.77734375" customWidth="1"/>
    <col min="14343" max="14343" width="8" customWidth="1"/>
    <col min="14344" max="14344" width="8.33203125" customWidth="1"/>
    <col min="14345" max="14345" width="7.33203125" customWidth="1"/>
    <col min="14346" max="14346" width="9.77734375" customWidth="1"/>
    <col min="14347" max="14348" width="9.88671875" bestFit="1" customWidth="1"/>
    <col min="14349" max="14349" width="7.88671875" customWidth="1"/>
    <col min="14350" max="14350" width="8.109375" customWidth="1"/>
    <col min="14593" max="14594" width="7.33203125" customWidth="1"/>
    <col min="14595" max="14595" width="7.77734375" customWidth="1"/>
    <col min="14596" max="14596" width="9.33203125" customWidth="1"/>
    <col min="14597" max="14597" width="11.5546875" bestFit="1" customWidth="1"/>
    <col min="14598" max="14598" width="7.77734375" customWidth="1"/>
    <col min="14599" max="14599" width="8" customWidth="1"/>
    <col min="14600" max="14600" width="8.33203125" customWidth="1"/>
    <col min="14601" max="14601" width="7.33203125" customWidth="1"/>
    <col min="14602" max="14602" width="9.77734375" customWidth="1"/>
    <col min="14603" max="14604" width="9.88671875" bestFit="1" customWidth="1"/>
    <col min="14605" max="14605" width="7.88671875" customWidth="1"/>
    <col min="14606" max="14606" width="8.109375" customWidth="1"/>
    <col min="14849" max="14850" width="7.33203125" customWidth="1"/>
    <col min="14851" max="14851" width="7.77734375" customWidth="1"/>
    <col min="14852" max="14852" width="9.33203125" customWidth="1"/>
    <col min="14853" max="14853" width="11.5546875" bestFit="1" customWidth="1"/>
    <col min="14854" max="14854" width="7.77734375" customWidth="1"/>
    <col min="14855" max="14855" width="8" customWidth="1"/>
    <col min="14856" max="14856" width="8.33203125" customWidth="1"/>
    <col min="14857" max="14857" width="7.33203125" customWidth="1"/>
    <col min="14858" max="14858" width="9.77734375" customWidth="1"/>
    <col min="14859" max="14860" width="9.88671875" bestFit="1" customWidth="1"/>
    <col min="14861" max="14861" width="7.88671875" customWidth="1"/>
    <col min="14862" max="14862" width="8.109375" customWidth="1"/>
    <col min="15105" max="15106" width="7.33203125" customWidth="1"/>
    <col min="15107" max="15107" width="7.77734375" customWidth="1"/>
    <col min="15108" max="15108" width="9.33203125" customWidth="1"/>
    <col min="15109" max="15109" width="11.5546875" bestFit="1" customWidth="1"/>
    <col min="15110" max="15110" width="7.77734375" customWidth="1"/>
    <col min="15111" max="15111" width="8" customWidth="1"/>
    <col min="15112" max="15112" width="8.33203125" customWidth="1"/>
    <col min="15113" max="15113" width="7.33203125" customWidth="1"/>
    <col min="15114" max="15114" width="9.77734375" customWidth="1"/>
    <col min="15115" max="15116" width="9.88671875" bestFit="1" customWidth="1"/>
    <col min="15117" max="15117" width="7.88671875" customWidth="1"/>
    <col min="15118" max="15118" width="8.109375" customWidth="1"/>
    <col min="15361" max="15362" width="7.33203125" customWidth="1"/>
    <col min="15363" max="15363" width="7.77734375" customWidth="1"/>
    <col min="15364" max="15364" width="9.33203125" customWidth="1"/>
    <col min="15365" max="15365" width="11.5546875" bestFit="1" customWidth="1"/>
    <col min="15366" max="15366" width="7.77734375" customWidth="1"/>
    <col min="15367" max="15367" width="8" customWidth="1"/>
    <col min="15368" max="15368" width="8.33203125" customWidth="1"/>
    <col min="15369" max="15369" width="7.33203125" customWidth="1"/>
    <col min="15370" max="15370" width="9.77734375" customWidth="1"/>
    <col min="15371" max="15372" width="9.88671875" bestFit="1" customWidth="1"/>
    <col min="15373" max="15373" width="7.88671875" customWidth="1"/>
    <col min="15374" max="15374" width="8.109375" customWidth="1"/>
    <col min="15617" max="15618" width="7.33203125" customWidth="1"/>
    <col min="15619" max="15619" width="7.77734375" customWidth="1"/>
    <col min="15620" max="15620" width="9.33203125" customWidth="1"/>
    <col min="15621" max="15621" width="11.5546875" bestFit="1" customWidth="1"/>
    <col min="15622" max="15622" width="7.77734375" customWidth="1"/>
    <col min="15623" max="15623" width="8" customWidth="1"/>
    <col min="15624" max="15624" width="8.33203125" customWidth="1"/>
    <col min="15625" max="15625" width="7.33203125" customWidth="1"/>
    <col min="15626" max="15626" width="9.77734375" customWidth="1"/>
    <col min="15627" max="15628" width="9.88671875" bestFit="1" customWidth="1"/>
    <col min="15629" max="15629" width="7.88671875" customWidth="1"/>
    <col min="15630" max="15630" width="8.109375" customWidth="1"/>
    <col min="15873" max="15874" width="7.33203125" customWidth="1"/>
    <col min="15875" max="15875" width="7.77734375" customWidth="1"/>
    <col min="15876" max="15876" width="9.33203125" customWidth="1"/>
    <col min="15877" max="15877" width="11.5546875" bestFit="1" customWidth="1"/>
    <col min="15878" max="15878" width="7.77734375" customWidth="1"/>
    <col min="15879" max="15879" width="8" customWidth="1"/>
    <col min="15880" max="15880" width="8.33203125" customWidth="1"/>
    <col min="15881" max="15881" width="7.33203125" customWidth="1"/>
    <col min="15882" max="15882" width="9.77734375" customWidth="1"/>
    <col min="15883" max="15884" width="9.88671875" bestFit="1" customWidth="1"/>
    <col min="15885" max="15885" width="7.88671875" customWidth="1"/>
    <col min="15886" max="15886" width="8.109375" customWidth="1"/>
    <col min="16129" max="16130" width="7.33203125" customWidth="1"/>
    <col min="16131" max="16131" width="7.77734375" customWidth="1"/>
    <col min="16132" max="16132" width="9.33203125" customWidth="1"/>
    <col min="16133" max="16133" width="11.5546875" bestFit="1" customWidth="1"/>
    <col min="16134" max="16134" width="7.77734375" customWidth="1"/>
    <col min="16135" max="16135" width="8" customWidth="1"/>
    <col min="16136" max="16136" width="8.33203125" customWidth="1"/>
    <col min="16137" max="16137" width="7.33203125" customWidth="1"/>
    <col min="16138" max="16138" width="9.77734375" customWidth="1"/>
    <col min="16139" max="16140" width="9.88671875" bestFit="1" customWidth="1"/>
    <col min="16141" max="16141" width="7.88671875" customWidth="1"/>
    <col min="16142" max="16142" width="8.109375" customWidth="1"/>
  </cols>
  <sheetData>
    <row r="1" spans="1:14" s="591" customFormat="1" ht="30" customHeight="1">
      <c r="A1" s="875" t="s">
        <v>1190</v>
      </c>
      <c r="B1" s="875"/>
      <c r="C1" s="875"/>
      <c r="D1" s="875"/>
      <c r="E1" s="875"/>
      <c r="F1" s="875"/>
      <c r="G1" s="875"/>
      <c r="H1" s="875"/>
      <c r="I1" s="875"/>
      <c r="J1" s="875"/>
      <c r="K1" s="875"/>
      <c r="L1" s="875"/>
      <c r="M1" s="875"/>
      <c r="N1" s="875"/>
    </row>
    <row r="2" spans="1:14" s="591" customFormat="1" ht="1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</row>
    <row r="3" spans="1:14" s="591" customFormat="1" ht="15" customHeight="1">
      <c r="A3" s="593" t="s">
        <v>828</v>
      </c>
      <c r="C3" s="594"/>
      <c r="D3" s="595"/>
      <c r="E3" s="595"/>
      <c r="F3" s="595"/>
      <c r="G3" s="595"/>
      <c r="M3" s="596"/>
      <c r="N3" s="596" t="s">
        <v>829</v>
      </c>
    </row>
    <row r="4" spans="1:14" s="591" customFormat="1" ht="24.95" customHeight="1">
      <c r="A4" s="812" t="s">
        <v>830</v>
      </c>
      <c r="B4" s="818"/>
      <c r="C4" s="818"/>
      <c r="D4" s="818"/>
      <c r="E4" s="818"/>
      <c r="F4" s="818"/>
      <c r="G4" s="818"/>
      <c r="H4" s="817" t="s">
        <v>831</v>
      </c>
      <c r="I4" s="818"/>
      <c r="J4" s="818"/>
      <c r="K4" s="818"/>
      <c r="L4" s="818"/>
      <c r="M4" s="818"/>
      <c r="N4" s="813"/>
    </row>
    <row r="5" spans="1:14" s="591" customFormat="1" ht="15" customHeight="1">
      <c r="A5" s="809" t="s">
        <v>1123</v>
      </c>
      <c r="B5" s="809" t="s">
        <v>1124</v>
      </c>
      <c r="C5" s="809" t="s">
        <v>1125</v>
      </c>
      <c r="D5" s="811" t="s">
        <v>1126</v>
      </c>
      <c r="E5" s="811" t="s">
        <v>1127</v>
      </c>
      <c r="F5" s="812" t="s">
        <v>1128</v>
      </c>
      <c r="G5" s="818"/>
      <c r="H5" s="807" t="s">
        <v>1123</v>
      </c>
      <c r="I5" s="809" t="s">
        <v>1124</v>
      </c>
      <c r="J5" s="809" t="s">
        <v>1125</v>
      </c>
      <c r="K5" s="811" t="s">
        <v>1126</v>
      </c>
      <c r="L5" s="811" t="s">
        <v>1127</v>
      </c>
      <c r="M5" s="812" t="s">
        <v>1128</v>
      </c>
      <c r="N5" s="813"/>
    </row>
    <row r="6" spans="1:14" s="591" customFormat="1" ht="15" customHeight="1">
      <c r="A6" s="810"/>
      <c r="B6" s="810"/>
      <c r="C6" s="810"/>
      <c r="D6" s="810"/>
      <c r="E6" s="810"/>
      <c r="F6" s="597" t="s">
        <v>1129</v>
      </c>
      <c r="G6" s="597" t="s">
        <v>1130</v>
      </c>
      <c r="H6" s="808"/>
      <c r="I6" s="810"/>
      <c r="J6" s="810"/>
      <c r="K6" s="810"/>
      <c r="L6" s="810"/>
      <c r="M6" s="597" t="s">
        <v>1129</v>
      </c>
      <c r="N6" s="740" t="s">
        <v>1130</v>
      </c>
    </row>
    <row r="7" spans="1:14" s="591" customFormat="1" ht="12.95" customHeight="1">
      <c r="A7" s="822" t="s">
        <v>1131</v>
      </c>
      <c r="B7" s="822"/>
      <c r="C7" s="869" t="s">
        <v>1132</v>
      </c>
      <c r="D7" s="871">
        <f>D9+D17+D19+D21+D23+D25</f>
        <v>3275084</v>
      </c>
      <c r="E7" s="871">
        <f>E9+E17+E19+E21+E23+E25</f>
        <v>3540488</v>
      </c>
      <c r="F7" s="800">
        <f>E7-D7</f>
        <v>265404</v>
      </c>
      <c r="G7" s="858">
        <f>F7/D7*100 %</f>
        <v>8.1037310798745932E-2</v>
      </c>
      <c r="H7" s="820" t="s">
        <v>1131</v>
      </c>
      <c r="I7" s="822"/>
      <c r="J7" s="869" t="s">
        <v>1132</v>
      </c>
      <c r="K7" s="871">
        <f>K9+K54+K62+K95+K97</f>
        <v>3275084</v>
      </c>
      <c r="L7" s="871">
        <f>L9+L54+L62+L95+L97</f>
        <v>3540488</v>
      </c>
      <c r="M7" s="800">
        <f>L7-K7</f>
        <v>265404</v>
      </c>
      <c r="N7" s="788">
        <f>M7/K7*100 %</f>
        <v>8.1037310798745932E-2</v>
      </c>
    </row>
    <row r="8" spans="1:14" s="591" customFormat="1" ht="12.95" customHeight="1">
      <c r="A8" s="793"/>
      <c r="B8" s="793"/>
      <c r="C8" s="870"/>
      <c r="D8" s="847"/>
      <c r="E8" s="847"/>
      <c r="F8" s="801"/>
      <c r="G8" s="859"/>
      <c r="H8" s="821"/>
      <c r="I8" s="793"/>
      <c r="J8" s="870"/>
      <c r="K8" s="872"/>
      <c r="L8" s="872"/>
      <c r="M8" s="801"/>
      <c r="N8" s="789"/>
    </row>
    <row r="9" spans="1:14" s="591" customFormat="1" ht="12.95" customHeight="1">
      <c r="A9" s="792" t="s">
        <v>1133</v>
      </c>
      <c r="B9" s="792" t="s">
        <v>1133</v>
      </c>
      <c r="C9" s="822"/>
      <c r="D9" s="857">
        <f>D11+D13+D15</f>
        <v>2342581</v>
      </c>
      <c r="E9" s="857">
        <f>E11+E13+E15</f>
        <v>2817579</v>
      </c>
      <c r="F9" s="800">
        <f>E9-D9</f>
        <v>474998</v>
      </c>
      <c r="G9" s="858">
        <f>F9/D9*100 %</f>
        <v>0.20276694807991699</v>
      </c>
      <c r="H9" s="874" t="s">
        <v>1143</v>
      </c>
      <c r="I9" s="792"/>
      <c r="J9" s="844"/>
      <c r="K9" s="846">
        <f>K11+K25+K31</f>
        <v>2036687</v>
      </c>
      <c r="L9" s="846">
        <f>L11+L25+L31</f>
        <v>2066359</v>
      </c>
      <c r="M9" s="826">
        <f>L9-K9</f>
        <v>29672</v>
      </c>
      <c r="N9" s="788">
        <f>M9/K9*100 %</f>
        <v>1.4568757987849876E-2</v>
      </c>
    </row>
    <row r="10" spans="1:14" s="591" customFormat="1" ht="12.95" customHeight="1">
      <c r="A10" s="793"/>
      <c r="B10" s="843"/>
      <c r="C10" s="793"/>
      <c r="D10" s="873"/>
      <c r="E10" s="873"/>
      <c r="F10" s="801"/>
      <c r="G10" s="859"/>
      <c r="H10" s="821"/>
      <c r="I10" s="843"/>
      <c r="J10" s="845"/>
      <c r="K10" s="847"/>
      <c r="L10" s="847"/>
      <c r="M10" s="827"/>
      <c r="N10" s="789"/>
    </row>
    <row r="11" spans="1:14" s="591" customFormat="1" ht="12.95" customHeight="1">
      <c r="A11" s="736"/>
      <c r="B11" s="736"/>
      <c r="C11" s="792" t="s">
        <v>1134</v>
      </c>
      <c r="D11" s="864">
        <v>2007805</v>
      </c>
      <c r="E11" s="864">
        <v>1905538</v>
      </c>
      <c r="F11" s="800">
        <f>E11-D11</f>
        <v>-102267</v>
      </c>
      <c r="G11" s="858">
        <f>F11/D11*100 %</f>
        <v>-5.0934727226996643E-2</v>
      </c>
      <c r="H11" s="599"/>
      <c r="I11" s="822" t="s">
        <v>1144</v>
      </c>
      <c r="J11" s="822"/>
      <c r="K11" s="866">
        <f>SUM(K13:K24)</f>
        <v>1861351</v>
      </c>
      <c r="L11" s="866">
        <f>SUM(L13:L24)</f>
        <v>1898467</v>
      </c>
      <c r="M11" s="848">
        <f>L11-K11</f>
        <v>37116</v>
      </c>
      <c r="N11" s="851">
        <f>M11/K11*100 %</f>
        <v>1.9940355150640583E-2</v>
      </c>
    </row>
    <row r="12" spans="1:14" s="591" customFormat="1" ht="12.95" customHeight="1">
      <c r="A12" s="738"/>
      <c r="B12" s="738"/>
      <c r="C12" s="843"/>
      <c r="D12" s="865"/>
      <c r="E12" s="865">
        <v>1514960000</v>
      </c>
      <c r="F12" s="801"/>
      <c r="G12" s="859"/>
      <c r="H12" s="601"/>
      <c r="I12" s="819"/>
      <c r="J12" s="819"/>
      <c r="K12" s="867"/>
      <c r="L12" s="867"/>
      <c r="M12" s="849"/>
      <c r="N12" s="852"/>
    </row>
    <row r="13" spans="1:14" s="591" customFormat="1" ht="12.95" customHeight="1">
      <c r="A13" s="792"/>
      <c r="B13" s="792"/>
      <c r="C13" s="792" t="s">
        <v>1135</v>
      </c>
      <c r="D13" s="857">
        <v>0</v>
      </c>
      <c r="E13" s="857">
        <v>226617</v>
      </c>
      <c r="F13" s="800">
        <f>E13-D13</f>
        <v>226617</v>
      </c>
      <c r="G13" s="858" t="e">
        <f>F13/D13*100 %</f>
        <v>#DIV/0!</v>
      </c>
      <c r="H13" s="601"/>
      <c r="I13" s="793"/>
      <c r="J13" s="793"/>
      <c r="K13" s="868"/>
      <c r="L13" s="868"/>
      <c r="M13" s="850"/>
      <c r="N13" s="853"/>
    </row>
    <row r="14" spans="1:14" s="591" customFormat="1" ht="12.95" customHeight="1">
      <c r="A14" s="793"/>
      <c r="B14" s="793"/>
      <c r="C14" s="843"/>
      <c r="D14" s="847"/>
      <c r="E14" s="847"/>
      <c r="F14" s="801"/>
      <c r="G14" s="859"/>
      <c r="H14" s="601"/>
      <c r="I14" s="602"/>
      <c r="J14" s="822" t="s">
        <v>1145</v>
      </c>
      <c r="K14" s="860">
        <v>1236502</v>
      </c>
      <c r="L14" s="860">
        <v>1258059</v>
      </c>
      <c r="M14" s="854">
        <f>L14-K14</f>
        <v>21557</v>
      </c>
      <c r="N14" s="851">
        <f>M14/K14*100 %</f>
        <v>1.7433857769740768E-2</v>
      </c>
    </row>
    <row r="15" spans="1:14" s="591" customFormat="1" ht="15" customHeight="1">
      <c r="A15" s="822"/>
      <c r="B15" s="822"/>
      <c r="C15" s="792" t="s">
        <v>1136</v>
      </c>
      <c r="D15" s="796">
        <v>334776</v>
      </c>
      <c r="E15" s="796">
        <v>685424</v>
      </c>
      <c r="F15" s="826">
        <f>E15-D15</f>
        <v>350648</v>
      </c>
      <c r="G15" s="839">
        <f>F15/D15*100 %</f>
        <v>1.0474108060314957</v>
      </c>
      <c r="H15" s="601"/>
      <c r="I15" s="602"/>
      <c r="J15" s="819"/>
      <c r="K15" s="861"/>
      <c r="L15" s="861"/>
      <c r="M15" s="855"/>
      <c r="N15" s="852"/>
    </row>
    <row r="16" spans="1:14" s="591" customFormat="1" ht="15" customHeight="1">
      <c r="A16" s="793"/>
      <c r="B16" s="793"/>
      <c r="C16" s="793"/>
      <c r="D16" s="797"/>
      <c r="E16" s="797"/>
      <c r="F16" s="863"/>
      <c r="G16" s="840"/>
      <c r="H16" s="601"/>
      <c r="I16" s="602"/>
      <c r="J16" s="793"/>
      <c r="K16" s="862"/>
      <c r="L16" s="862"/>
      <c r="M16" s="856"/>
      <c r="N16" s="853"/>
    </row>
    <row r="17" spans="1:14" s="591" customFormat="1" ht="15" customHeight="1">
      <c r="A17" s="792" t="s">
        <v>1137</v>
      </c>
      <c r="B17" s="792" t="s">
        <v>1137</v>
      </c>
      <c r="C17" s="792" t="s">
        <v>1137</v>
      </c>
      <c r="D17" s="796">
        <v>111948</v>
      </c>
      <c r="E17" s="796">
        <v>40000</v>
      </c>
      <c r="F17" s="800">
        <f>E17-D17</f>
        <v>-71948</v>
      </c>
      <c r="G17" s="839">
        <f>F17/D17*100 %</f>
        <v>-0.64269124950870049</v>
      </c>
      <c r="H17" s="601"/>
      <c r="I17" s="602"/>
      <c r="J17" s="822" t="s">
        <v>1146</v>
      </c>
      <c r="K17" s="830">
        <v>326532</v>
      </c>
      <c r="L17" s="830">
        <v>324834</v>
      </c>
      <c r="M17" s="800">
        <f>L17-K17</f>
        <v>-1698</v>
      </c>
      <c r="N17" s="788">
        <f>M17/K17*100 %</f>
        <v>-5.2001028995626768E-3</v>
      </c>
    </row>
    <row r="18" spans="1:14" s="591" customFormat="1" ht="15" customHeight="1">
      <c r="A18" s="843"/>
      <c r="B18" s="843"/>
      <c r="C18" s="843"/>
      <c r="D18" s="797"/>
      <c r="E18" s="797"/>
      <c r="F18" s="838"/>
      <c r="G18" s="840"/>
      <c r="H18" s="601"/>
      <c r="I18" s="602"/>
      <c r="J18" s="793"/>
      <c r="K18" s="831"/>
      <c r="L18" s="831"/>
      <c r="M18" s="801"/>
      <c r="N18" s="789"/>
    </row>
    <row r="19" spans="1:14" s="591" customFormat="1" ht="15" customHeight="1">
      <c r="A19" s="792" t="s">
        <v>1138</v>
      </c>
      <c r="B19" s="792" t="s">
        <v>1138</v>
      </c>
      <c r="C19" s="792" t="s">
        <v>1138</v>
      </c>
      <c r="D19" s="796">
        <v>530067</v>
      </c>
      <c r="E19" s="796">
        <v>416592</v>
      </c>
      <c r="F19" s="800">
        <f>E19-D19</f>
        <v>-113475</v>
      </c>
      <c r="G19" s="839">
        <f>F19/D19*100 %</f>
        <v>-0.21407671105728143</v>
      </c>
      <c r="H19" s="842"/>
      <c r="I19" s="819"/>
      <c r="J19" s="792" t="s">
        <v>1147</v>
      </c>
      <c r="K19" s="830">
        <v>129416</v>
      </c>
      <c r="L19" s="830">
        <v>136129</v>
      </c>
      <c r="M19" s="800">
        <f>L19-K19</f>
        <v>6713</v>
      </c>
      <c r="N19" s="788">
        <f>M19/K19*100 %</f>
        <v>5.1871484205971444E-2</v>
      </c>
    </row>
    <row r="20" spans="1:14" s="591" customFormat="1" ht="15" customHeight="1">
      <c r="A20" s="843"/>
      <c r="B20" s="843"/>
      <c r="C20" s="843"/>
      <c r="D20" s="797"/>
      <c r="E20" s="797"/>
      <c r="F20" s="838"/>
      <c r="G20" s="840"/>
      <c r="H20" s="842"/>
      <c r="I20" s="819"/>
      <c r="J20" s="843"/>
      <c r="K20" s="831"/>
      <c r="L20" s="831"/>
      <c r="M20" s="801"/>
      <c r="N20" s="789"/>
    </row>
    <row r="21" spans="1:14" s="591" customFormat="1" ht="15" customHeight="1">
      <c r="A21" s="792" t="s">
        <v>1139</v>
      </c>
      <c r="B21" s="792" t="s">
        <v>1139</v>
      </c>
      <c r="C21" s="792" t="s">
        <v>1139</v>
      </c>
      <c r="D21" s="796">
        <v>116340</v>
      </c>
      <c r="E21" s="796">
        <v>144917</v>
      </c>
      <c r="F21" s="800">
        <f>E21-D21</f>
        <v>28577</v>
      </c>
      <c r="G21" s="839">
        <f>F21/D21*100 %</f>
        <v>0.24563348805226062</v>
      </c>
      <c r="H21" s="739"/>
      <c r="I21" s="738"/>
      <c r="J21" s="792" t="s">
        <v>1148</v>
      </c>
      <c r="K21" s="830">
        <v>145929</v>
      </c>
      <c r="L21" s="830">
        <v>158317</v>
      </c>
      <c r="M21" s="800">
        <f>L21-K21</f>
        <v>12388</v>
      </c>
      <c r="N21" s="788">
        <f>M21/K21*100 %</f>
        <v>8.4890597482337307E-2</v>
      </c>
    </row>
    <row r="22" spans="1:14" s="591" customFormat="1" ht="15" customHeight="1">
      <c r="A22" s="843"/>
      <c r="B22" s="843"/>
      <c r="C22" s="843"/>
      <c r="D22" s="797"/>
      <c r="E22" s="797"/>
      <c r="F22" s="838"/>
      <c r="G22" s="840"/>
      <c r="H22" s="739"/>
      <c r="I22" s="738"/>
      <c r="J22" s="843"/>
      <c r="K22" s="831"/>
      <c r="L22" s="831"/>
      <c r="M22" s="801"/>
      <c r="N22" s="789"/>
    </row>
    <row r="23" spans="1:14" s="591" customFormat="1" ht="15" customHeight="1">
      <c r="A23" s="792" t="s">
        <v>1140</v>
      </c>
      <c r="B23" s="792" t="s">
        <v>1140</v>
      </c>
      <c r="C23" s="792" t="s">
        <v>1140</v>
      </c>
      <c r="D23" s="796">
        <v>4210</v>
      </c>
      <c r="E23" s="796">
        <v>3000</v>
      </c>
      <c r="F23" s="800">
        <f>E23-D23</f>
        <v>-1210</v>
      </c>
      <c r="G23" s="839">
        <v>1</v>
      </c>
      <c r="H23" s="842"/>
      <c r="I23" s="819"/>
      <c r="J23" s="828" t="s">
        <v>1149</v>
      </c>
      <c r="K23" s="830">
        <v>22972</v>
      </c>
      <c r="L23" s="830">
        <v>21128</v>
      </c>
      <c r="M23" s="800">
        <f>L23-K23</f>
        <v>-1844</v>
      </c>
      <c r="N23" s="788">
        <f>M23/K23*100 %</f>
        <v>-8.0271635033954375E-2</v>
      </c>
    </row>
    <row r="24" spans="1:14" s="591" customFormat="1" ht="15" customHeight="1">
      <c r="A24" s="843"/>
      <c r="B24" s="843"/>
      <c r="C24" s="843"/>
      <c r="D24" s="797"/>
      <c r="E24" s="797"/>
      <c r="F24" s="838"/>
      <c r="G24" s="840"/>
      <c r="H24" s="842"/>
      <c r="I24" s="819"/>
      <c r="J24" s="829"/>
      <c r="K24" s="831"/>
      <c r="L24" s="831"/>
      <c r="M24" s="801"/>
      <c r="N24" s="789"/>
    </row>
    <row r="25" spans="1:14" s="591" customFormat="1" ht="15" customHeight="1">
      <c r="A25" s="738" t="s">
        <v>1141</v>
      </c>
      <c r="B25" s="738" t="s">
        <v>1141</v>
      </c>
      <c r="C25" s="738" t="s">
        <v>1141</v>
      </c>
      <c r="D25" s="796">
        <v>169938</v>
      </c>
      <c r="E25" s="796">
        <v>118400</v>
      </c>
      <c r="F25" s="800">
        <f>E25-D25</f>
        <v>-51538</v>
      </c>
      <c r="G25" s="839">
        <f>F25/D25*100 %</f>
        <v>-0.30327531217267473</v>
      </c>
      <c r="H25" s="739"/>
      <c r="I25" s="792" t="s">
        <v>1150</v>
      </c>
      <c r="J25" s="828"/>
      <c r="K25" s="830">
        <f>K27+K29</f>
        <v>2690</v>
      </c>
      <c r="L25" s="830">
        <f>L27+L29</f>
        <v>5720</v>
      </c>
      <c r="M25" s="836">
        <f>L25-K25</f>
        <v>3030</v>
      </c>
      <c r="N25" s="788">
        <f>M25/K25*100 %</f>
        <v>1.1263940520446096</v>
      </c>
    </row>
    <row r="26" spans="1:14" s="591" customFormat="1" ht="15" customHeight="1">
      <c r="A26" s="737" t="s">
        <v>1142</v>
      </c>
      <c r="B26" s="737" t="s">
        <v>1142</v>
      </c>
      <c r="C26" s="737" t="s">
        <v>1142</v>
      </c>
      <c r="D26" s="797"/>
      <c r="E26" s="797"/>
      <c r="F26" s="838"/>
      <c r="G26" s="840"/>
      <c r="H26" s="739"/>
      <c r="I26" s="793"/>
      <c r="J26" s="841"/>
      <c r="K26" s="831"/>
      <c r="L26" s="831"/>
      <c r="M26" s="837"/>
      <c r="N26" s="789"/>
    </row>
    <row r="27" spans="1:14" ht="13.5" customHeight="1">
      <c r="A27" s="600"/>
      <c r="B27" s="600"/>
      <c r="C27" s="600"/>
      <c r="D27" s="603"/>
      <c r="E27" s="604"/>
      <c r="F27" s="605"/>
      <c r="G27" s="606"/>
      <c r="H27" s="607"/>
      <c r="I27" s="608"/>
      <c r="J27" s="828" t="s">
        <v>1150</v>
      </c>
      <c r="K27" s="830">
        <v>1850</v>
      </c>
      <c r="L27" s="830">
        <v>2000</v>
      </c>
      <c r="M27" s="832">
        <f>L27-K27</f>
        <v>150</v>
      </c>
      <c r="N27" s="788">
        <f>M27/K27*100 %</f>
        <v>8.1081081081081086E-2</v>
      </c>
    </row>
    <row r="28" spans="1:14">
      <c r="A28" s="600"/>
      <c r="B28" s="600"/>
      <c r="C28" s="600"/>
      <c r="D28" s="609"/>
      <c r="E28" s="610"/>
      <c r="F28" s="611"/>
      <c r="G28" s="612"/>
      <c r="H28" s="607"/>
      <c r="I28" s="608"/>
      <c r="J28" s="829"/>
      <c r="K28" s="831"/>
      <c r="L28" s="831"/>
      <c r="M28" s="833"/>
      <c r="N28" s="789"/>
    </row>
    <row r="29" spans="1:14" ht="13.5" customHeight="1">
      <c r="A29" s="600"/>
      <c r="B29" s="600"/>
      <c r="C29" s="600"/>
      <c r="D29" s="609"/>
      <c r="E29" s="610"/>
      <c r="F29" s="611"/>
      <c r="G29" s="612"/>
      <c r="H29" s="607"/>
      <c r="I29" s="608"/>
      <c r="J29" s="828" t="s">
        <v>1151</v>
      </c>
      <c r="K29" s="830">
        <v>840</v>
      </c>
      <c r="L29" s="830">
        <v>3720</v>
      </c>
      <c r="M29" s="832">
        <f>L29-K29</f>
        <v>2880</v>
      </c>
      <c r="N29" s="788">
        <f>M29/K29*100 %</f>
        <v>3.4285714285714284</v>
      </c>
    </row>
    <row r="30" spans="1:14">
      <c r="A30" s="600"/>
      <c r="B30" s="600"/>
      <c r="C30" s="600"/>
      <c r="D30" s="609"/>
      <c r="E30" s="610"/>
      <c r="F30" s="611"/>
      <c r="G30" s="612"/>
      <c r="H30" s="607"/>
      <c r="I30" s="608"/>
      <c r="J30" s="829"/>
      <c r="K30" s="831"/>
      <c r="L30" s="831"/>
      <c r="M30" s="833"/>
      <c r="N30" s="789"/>
    </row>
    <row r="31" spans="1:14">
      <c r="A31" s="613"/>
      <c r="B31" s="614"/>
      <c r="C31" s="614"/>
      <c r="D31" s="614"/>
      <c r="E31" s="614"/>
      <c r="F31" s="614"/>
      <c r="G31" s="615"/>
      <c r="H31" s="607"/>
      <c r="I31" s="822" t="s">
        <v>1152</v>
      </c>
      <c r="J31" s="616"/>
      <c r="K31" s="834">
        <f>K40+K42+K44+K46+K48+K50+K52</f>
        <v>172646</v>
      </c>
      <c r="L31" s="834">
        <f>L40+L42+L44+L46+L48+L50+L52</f>
        <v>162172</v>
      </c>
      <c r="M31" s="800">
        <f>L31-K31</f>
        <v>-10474</v>
      </c>
      <c r="N31" s="788">
        <f>M31/K31*100 %</f>
        <v>-6.0667493020400122E-2</v>
      </c>
    </row>
    <row r="32" spans="1:14">
      <c r="A32" s="617"/>
      <c r="B32" s="618"/>
      <c r="C32" s="618"/>
      <c r="D32" s="618"/>
      <c r="E32" s="618"/>
      <c r="F32" s="618"/>
      <c r="G32" s="619"/>
      <c r="H32" s="620"/>
      <c r="I32" s="793"/>
      <c r="J32" s="621"/>
      <c r="K32" s="835"/>
      <c r="L32" s="835"/>
      <c r="M32" s="801"/>
      <c r="N32" s="789"/>
    </row>
    <row r="33" spans="1:14">
      <c r="A33" s="622"/>
      <c r="B33" s="622"/>
      <c r="C33" s="622"/>
      <c r="D33" s="622"/>
      <c r="E33" s="622"/>
      <c r="F33" s="622"/>
      <c r="G33" s="622"/>
      <c r="H33" s="623"/>
      <c r="I33" s="623"/>
      <c r="J33" s="624"/>
      <c r="K33" s="625"/>
      <c r="L33" s="625"/>
      <c r="M33" s="626"/>
      <c r="N33" s="626"/>
    </row>
    <row r="34" spans="1:14">
      <c r="A34" s="622"/>
      <c r="B34" s="622"/>
      <c r="C34" s="622"/>
      <c r="D34" s="622"/>
      <c r="E34" s="622"/>
      <c r="F34" s="622"/>
      <c r="G34" s="622"/>
      <c r="H34" s="623"/>
      <c r="I34" s="623"/>
      <c r="J34" s="624"/>
      <c r="K34" s="625"/>
      <c r="L34" s="625"/>
      <c r="M34" s="626"/>
      <c r="N34" s="626"/>
    </row>
    <row r="35" spans="1:14">
      <c r="A35" s="622"/>
      <c r="B35" s="622"/>
      <c r="C35" s="622"/>
      <c r="D35" s="622"/>
      <c r="E35" s="622"/>
      <c r="F35" s="622"/>
      <c r="G35" s="622"/>
      <c r="H35" s="623"/>
      <c r="I35" s="623"/>
      <c r="J35" s="624"/>
      <c r="K35" s="625"/>
      <c r="L35" s="625"/>
      <c r="M35" s="626"/>
      <c r="N35" s="626"/>
    </row>
    <row r="36" spans="1:14" s="591" customFormat="1" ht="15" customHeight="1">
      <c r="A36" s="593" t="s">
        <v>837</v>
      </c>
      <c r="C36" s="594"/>
      <c r="D36" s="595"/>
      <c r="E36" s="595"/>
      <c r="F36" s="595"/>
      <c r="G36" s="595"/>
      <c r="M36" s="596"/>
      <c r="N36" s="596" t="s">
        <v>838</v>
      </c>
    </row>
    <row r="37" spans="1:14" s="591" customFormat="1" ht="24.95" customHeight="1">
      <c r="A37" s="815" t="s">
        <v>839</v>
      </c>
      <c r="B37" s="815"/>
      <c r="C37" s="815"/>
      <c r="D37" s="815"/>
      <c r="E37" s="815"/>
      <c r="F37" s="815"/>
      <c r="G37" s="816"/>
      <c r="H37" s="817" t="s">
        <v>831</v>
      </c>
      <c r="I37" s="818"/>
      <c r="J37" s="818"/>
      <c r="K37" s="818"/>
      <c r="L37" s="818"/>
      <c r="M37" s="818"/>
      <c r="N37" s="813"/>
    </row>
    <row r="38" spans="1:14" s="591" customFormat="1" ht="15" customHeight="1">
      <c r="A38" s="809" t="s">
        <v>840</v>
      </c>
      <c r="B38" s="809" t="s">
        <v>832</v>
      </c>
      <c r="C38" s="809" t="s">
        <v>833</v>
      </c>
      <c r="D38" s="811" t="s">
        <v>1233</v>
      </c>
      <c r="E38" s="811" t="s">
        <v>1127</v>
      </c>
      <c r="F38" s="809" t="s">
        <v>834</v>
      </c>
      <c r="G38" s="814"/>
      <c r="H38" s="807" t="s">
        <v>1153</v>
      </c>
      <c r="I38" s="809" t="s">
        <v>1154</v>
      </c>
      <c r="J38" s="809" t="s">
        <v>1155</v>
      </c>
      <c r="K38" s="811" t="s">
        <v>1156</v>
      </c>
      <c r="L38" s="811" t="s">
        <v>1157</v>
      </c>
      <c r="M38" s="812" t="s">
        <v>1158</v>
      </c>
      <c r="N38" s="813"/>
    </row>
    <row r="39" spans="1:14" s="591" customFormat="1" ht="15" customHeight="1">
      <c r="A39" s="810"/>
      <c r="B39" s="810"/>
      <c r="C39" s="810"/>
      <c r="D39" s="810"/>
      <c r="E39" s="810"/>
      <c r="F39" s="598" t="s">
        <v>835</v>
      </c>
      <c r="G39" s="627" t="s">
        <v>836</v>
      </c>
      <c r="H39" s="808"/>
      <c r="I39" s="810"/>
      <c r="J39" s="810"/>
      <c r="K39" s="810"/>
      <c r="L39" s="810"/>
      <c r="M39" s="597" t="s">
        <v>1159</v>
      </c>
      <c r="N39" s="735" t="s">
        <v>1160</v>
      </c>
    </row>
    <row r="40" spans="1:14">
      <c r="A40" s="614"/>
      <c r="B40" s="614"/>
      <c r="C40" s="614"/>
      <c r="D40" s="614"/>
      <c r="E40" s="614"/>
      <c r="F40" s="614"/>
      <c r="G40" s="615"/>
      <c r="H40" s="628"/>
      <c r="I40" s="608"/>
      <c r="J40" s="822" t="s">
        <v>1161</v>
      </c>
      <c r="K40" s="796">
        <v>1545</v>
      </c>
      <c r="L40" s="796">
        <v>5000</v>
      </c>
      <c r="M40" s="800">
        <f>L40-K40</f>
        <v>3455</v>
      </c>
      <c r="N40" s="788">
        <f>M40/K40*100 %</f>
        <v>2.2362459546925568</v>
      </c>
    </row>
    <row r="41" spans="1:14">
      <c r="A41" s="614"/>
      <c r="B41" s="614"/>
      <c r="C41" s="614"/>
      <c r="D41" s="614"/>
      <c r="E41" s="614"/>
      <c r="F41" s="614"/>
      <c r="G41" s="615"/>
      <c r="H41" s="628"/>
      <c r="I41" s="608"/>
      <c r="J41" s="793"/>
      <c r="K41" s="797"/>
      <c r="L41" s="797"/>
      <c r="M41" s="801"/>
      <c r="N41" s="789"/>
    </row>
    <row r="42" spans="1:14" ht="13.5" customHeight="1">
      <c r="A42" s="614"/>
      <c r="B42" s="614"/>
      <c r="C42" s="614"/>
      <c r="D42" s="614"/>
      <c r="E42" s="614"/>
      <c r="F42" s="614"/>
      <c r="G42" s="615"/>
      <c r="H42" s="628"/>
      <c r="I42" s="608"/>
      <c r="J42" s="792" t="s">
        <v>1162</v>
      </c>
      <c r="K42" s="796">
        <v>44882</v>
      </c>
      <c r="L42" s="796">
        <v>46290</v>
      </c>
      <c r="M42" s="800">
        <f>L42-K42</f>
        <v>1408</v>
      </c>
      <c r="N42" s="788">
        <f>M42/K42*100 %</f>
        <v>3.1371151018225567E-2</v>
      </c>
    </row>
    <row r="43" spans="1:14">
      <c r="A43" s="614"/>
      <c r="B43" s="614"/>
      <c r="C43" s="614"/>
      <c r="D43" s="614"/>
      <c r="E43" s="614"/>
      <c r="F43" s="614"/>
      <c r="G43" s="615"/>
      <c r="H43" s="628"/>
      <c r="I43" s="608"/>
      <c r="J43" s="793"/>
      <c r="K43" s="797"/>
      <c r="L43" s="797"/>
      <c r="M43" s="801"/>
      <c r="N43" s="789"/>
    </row>
    <row r="44" spans="1:14" ht="13.5" customHeight="1">
      <c r="A44" s="614"/>
      <c r="B44" s="614"/>
      <c r="C44" s="614"/>
      <c r="D44" s="614"/>
      <c r="E44" s="614"/>
      <c r="F44" s="614"/>
      <c r="G44" s="615"/>
      <c r="H44" s="628"/>
      <c r="I44" s="608"/>
      <c r="J44" s="822" t="s">
        <v>1163</v>
      </c>
      <c r="K44" s="796">
        <v>89089</v>
      </c>
      <c r="L44" s="796">
        <v>76104</v>
      </c>
      <c r="M44" s="800">
        <f>L44-K44</f>
        <v>-12985</v>
      </c>
      <c r="N44" s="788">
        <f>M44/K44*100 %</f>
        <v>-0.14575312328121318</v>
      </c>
    </row>
    <row r="45" spans="1:14">
      <c r="A45" s="614"/>
      <c r="B45" s="614"/>
      <c r="C45" s="614"/>
      <c r="D45" s="614"/>
      <c r="E45" s="614"/>
      <c r="F45" s="614"/>
      <c r="G45" s="615"/>
      <c r="H45" s="628"/>
      <c r="I45" s="608"/>
      <c r="J45" s="793"/>
      <c r="K45" s="797"/>
      <c r="L45" s="797"/>
      <c r="M45" s="801"/>
      <c r="N45" s="789"/>
    </row>
    <row r="46" spans="1:14">
      <c r="A46" s="614"/>
      <c r="B46" s="614"/>
      <c r="C46" s="614"/>
      <c r="D46" s="614"/>
      <c r="E46" s="614"/>
      <c r="F46" s="614"/>
      <c r="G46" s="615"/>
      <c r="H46" s="628"/>
      <c r="I46" s="608"/>
      <c r="J46" s="822" t="s">
        <v>1164</v>
      </c>
      <c r="K46" s="796">
        <v>15931</v>
      </c>
      <c r="L46" s="796">
        <v>15878</v>
      </c>
      <c r="M46" s="800">
        <f>L46-K46</f>
        <v>-53</v>
      </c>
      <c r="N46" s="788">
        <f>M46/K46*100 %</f>
        <v>-3.3268470278074195E-3</v>
      </c>
    </row>
    <row r="47" spans="1:14">
      <c r="A47" s="614"/>
      <c r="B47" s="614"/>
      <c r="C47" s="614"/>
      <c r="D47" s="614"/>
      <c r="E47" s="614"/>
      <c r="F47" s="614"/>
      <c r="G47" s="615"/>
      <c r="H47" s="628"/>
      <c r="I47" s="608"/>
      <c r="J47" s="793"/>
      <c r="K47" s="797"/>
      <c r="L47" s="797"/>
      <c r="M47" s="801"/>
      <c r="N47" s="789"/>
    </row>
    <row r="48" spans="1:14">
      <c r="A48" s="614"/>
      <c r="B48" s="614"/>
      <c r="C48" s="614"/>
      <c r="D48" s="614"/>
      <c r="E48" s="614"/>
      <c r="F48" s="614"/>
      <c r="G48" s="615"/>
      <c r="H48" s="628"/>
      <c r="I48" s="608"/>
      <c r="J48" s="822" t="s">
        <v>1165</v>
      </c>
      <c r="K48" s="796">
        <v>12601</v>
      </c>
      <c r="L48" s="796">
        <v>12600</v>
      </c>
      <c r="M48" s="800">
        <f>L48-K48</f>
        <v>-1</v>
      </c>
      <c r="N48" s="788">
        <f>M48/K48*100 %</f>
        <v>-7.9358781049123091E-5</v>
      </c>
    </row>
    <row r="49" spans="1:14">
      <c r="A49" s="614"/>
      <c r="B49" s="614"/>
      <c r="C49" s="614"/>
      <c r="D49" s="614"/>
      <c r="E49" s="614"/>
      <c r="F49" s="614"/>
      <c r="G49" s="615"/>
      <c r="H49" s="628"/>
      <c r="I49" s="608"/>
      <c r="J49" s="793"/>
      <c r="K49" s="797"/>
      <c r="L49" s="797"/>
      <c r="M49" s="801"/>
      <c r="N49" s="789"/>
    </row>
    <row r="50" spans="1:14">
      <c r="A50" s="614"/>
      <c r="B50" s="614"/>
      <c r="C50" s="614"/>
      <c r="D50" s="614"/>
      <c r="E50" s="614"/>
      <c r="F50" s="614"/>
      <c r="G50" s="615"/>
      <c r="H50" s="628"/>
      <c r="I50" s="608"/>
      <c r="J50" s="822" t="s">
        <v>1166</v>
      </c>
      <c r="K50" s="796">
        <v>4998</v>
      </c>
      <c r="L50" s="796">
        <v>4800</v>
      </c>
      <c r="M50" s="800">
        <f>L50-K50</f>
        <v>-198</v>
      </c>
      <c r="N50" s="788">
        <f>M50/K50*100 %</f>
        <v>-3.9615846338535411E-2</v>
      </c>
    </row>
    <row r="51" spans="1:14">
      <c r="A51" s="614"/>
      <c r="B51" s="614"/>
      <c r="C51" s="614"/>
      <c r="D51" s="614"/>
      <c r="E51" s="614"/>
      <c r="F51" s="614"/>
      <c r="G51" s="615"/>
      <c r="H51" s="628"/>
      <c r="I51" s="608"/>
      <c r="J51" s="819"/>
      <c r="K51" s="797"/>
      <c r="L51" s="797"/>
      <c r="M51" s="801"/>
      <c r="N51" s="789"/>
    </row>
    <row r="52" spans="1:14">
      <c r="A52" s="614"/>
      <c r="B52" s="614"/>
      <c r="C52" s="614"/>
      <c r="D52" s="614"/>
      <c r="E52" s="614"/>
      <c r="F52" s="614"/>
      <c r="G52" s="615"/>
      <c r="H52" s="628"/>
      <c r="I52" s="608"/>
      <c r="J52" s="822" t="s">
        <v>1167</v>
      </c>
      <c r="K52" s="796">
        <v>3600</v>
      </c>
      <c r="L52" s="796">
        <v>1500</v>
      </c>
      <c r="M52" s="826">
        <f>L52-K52</f>
        <v>-2100</v>
      </c>
      <c r="N52" s="788">
        <f>M52/K52*100 %</f>
        <v>-0.58333333333333337</v>
      </c>
    </row>
    <row r="53" spans="1:14">
      <c r="A53" s="614"/>
      <c r="B53" s="614"/>
      <c r="C53" s="614"/>
      <c r="D53" s="614"/>
      <c r="E53" s="614"/>
      <c r="F53" s="614"/>
      <c r="G53" s="615"/>
      <c r="H53" s="628"/>
      <c r="I53" s="608"/>
      <c r="J53" s="819"/>
      <c r="K53" s="797"/>
      <c r="L53" s="797"/>
      <c r="M53" s="827"/>
      <c r="N53" s="789"/>
    </row>
    <row r="54" spans="1:14">
      <c r="A54" s="614"/>
      <c r="B54" s="614"/>
      <c r="C54" s="614"/>
      <c r="D54" s="614"/>
      <c r="E54" s="614"/>
      <c r="F54" s="614"/>
      <c r="G54" s="615"/>
      <c r="H54" s="824" t="s">
        <v>1168</v>
      </c>
      <c r="I54" s="822" t="s">
        <v>1169</v>
      </c>
      <c r="J54" s="616"/>
      <c r="K54" s="796">
        <f>K56+K58+K60</f>
        <v>142409</v>
      </c>
      <c r="L54" s="796">
        <f>L56+L58+L60</f>
        <v>234937</v>
      </c>
      <c r="M54" s="800">
        <f>L54-K54</f>
        <v>92528</v>
      </c>
      <c r="N54" s="788">
        <f>M54/K54*100 %</f>
        <v>0.64973421623633343</v>
      </c>
    </row>
    <row r="55" spans="1:14">
      <c r="A55" s="614"/>
      <c r="B55" s="614"/>
      <c r="C55" s="614"/>
      <c r="D55" s="614"/>
      <c r="E55" s="614"/>
      <c r="F55" s="614"/>
      <c r="G55" s="615"/>
      <c r="H55" s="791"/>
      <c r="I55" s="793"/>
      <c r="J55" s="621"/>
      <c r="K55" s="823"/>
      <c r="L55" s="823"/>
      <c r="M55" s="801"/>
      <c r="N55" s="789"/>
    </row>
    <row r="56" spans="1:14">
      <c r="A56" s="614"/>
      <c r="B56" s="614"/>
      <c r="C56" s="614"/>
      <c r="D56" s="614"/>
      <c r="E56" s="614"/>
      <c r="F56" s="614"/>
      <c r="G56" s="615"/>
      <c r="H56" s="824"/>
      <c r="I56" s="822"/>
      <c r="J56" s="822" t="s">
        <v>1170</v>
      </c>
      <c r="K56" s="796">
        <v>71929</v>
      </c>
      <c r="L56" s="796">
        <v>228617</v>
      </c>
      <c r="M56" s="800">
        <f>L56-K56</f>
        <v>156688</v>
      </c>
      <c r="N56" s="788">
        <f>M56/K56*100 %</f>
        <v>2.1783703374160632</v>
      </c>
    </row>
    <row r="57" spans="1:14">
      <c r="A57" s="614"/>
      <c r="B57" s="614"/>
      <c r="C57" s="614"/>
      <c r="D57" s="614"/>
      <c r="E57" s="614"/>
      <c r="F57" s="614"/>
      <c r="G57" s="615"/>
      <c r="H57" s="825"/>
      <c r="I57" s="819"/>
      <c r="J57" s="793"/>
      <c r="K57" s="797"/>
      <c r="L57" s="797"/>
      <c r="M57" s="801"/>
      <c r="N57" s="789"/>
    </row>
    <row r="58" spans="1:14">
      <c r="A58" s="614"/>
      <c r="B58" s="614"/>
      <c r="C58" s="614"/>
      <c r="D58" s="614"/>
      <c r="E58" s="614"/>
      <c r="F58" s="614"/>
      <c r="G58" s="615"/>
      <c r="H58" s="741"/>
      <c r="I58" s="738"/>
      <c r="J58" s="822" t="s">
        <v>1171</v>
      </c>
      <c r="K58" s="796">
        <v>63939</v>
      </c>
      <c r="L58" s="796">
        <v>1000</v>
      </c>
      <c r="M58" s="800">
        <f>L58-K58</f>
        <v>-62939</v>
      </c>
      <c r="N58" s="788">
        <f>M58/K58*100 %</f>
        <v>-0.98436009321384443</v>
      </c>
    </row>
    <row r="59" spans="1:14">
      <c r="A59" s="614"/>
      <c r="B59" s="614"/>
      <c r="C59" s="614"/>
      <c r="D59" s="614"/>
      <c r="E59" s="614"/>
      <c r="F59" s="614"/>
      <c r="G59" s="615"/>
      <c r="H59" s="741"/>
      <c r="I59" s="738"/>
      <c r="J59" s="793"/>
      <c r="K59" s="797"/>
      <c r="L59" s="797"/>
      <c r="M59" s="801"/>
      <c r="N59" s="789"/>
    </row>
    <row r="60" spans="1:14" ht="13.5" customHeight="1">
      <c r="A60" s="614"/>
      <c r="B60" s="614"/>
      <c r="C60" s="614"/>
      <c r="D60" s="614"/>
      <c r="E60" s="614"/>
      <c r="F60" s="614"/>
      <c r="G60" s="615"/>
      <c r="H60" s="628"/>
      <c r="I60" s="629"/>
      <c r="J60" s="792" t="s">
        <v>1172</v>
      </c>
      <c r="K60" s="796">
        <v>6541</v>
      </c>
      <c r="L60" s="796">
        <v>5320</v>
      </c>
      <c r="M60" s="800">
        <f>L60-K60</f>
        <v>-1221</v>
      </c>
      <c r="N60" s="788">
        <f>M60/K60*100 %</f>
        <v>-0.18666870509096467</v>
      </c>
    </row>
    <row r="61" spans="1:14">
      <c r="A61" s="614"/>
      <c r="B61" s="614"/>
      <c r="C61" s="614"/>
      <c r="D61" s="614"/>
      <c r="E61" s="614"/>
      <c r="F61" s="614"/>
      <c r="G61" s="615"/>
      <c r="H61" s="628"/>
      <c r="I61" s="629"/>
      <c r="J61" s="793"/>
      <c r="K61" s="797"/>
      <c r="L61" s="797"/>
      <c r="M61" s="801"/>
      <c r="N61" s="789"/>
    </row>
    <row r="62" spans="1:14" ht="13.5" customHeight="1">
      <c r="A62" s="614"/>
      <c r="B62" s="614"/>
      <c r="C62" s="614"/>
      <c r="D62" s="614"/>
      <c r="E62" s="614"/>
      <c r="F62" s="614"/>
      <c r="G62" s="615"/>
      <c r="H62" s="820" t="s">
        <v>1173</v>
      </c>
      <c r="I62" s="822" t="s">
        <v>1174</v>
      </c>
      <c r="J62" s="616"/>
      <c r="K62" s="796">
        <f>K64+K66+K75+K77+K79+K81+K83+K85+K87+K89+K93+K91</f>
        <v>1084982</v>
      </c>
      <c r="L62" s="796">
        <f>L64+L66+L75+L77+L79+L81+L83+L85+L87+L89+L93+L91</f>
        <v>1233333</v>
      </c>
      <c r="M62" s="800">
        <f>L62-K62</f>
        <v>148351</v>
      </c>
      <c r="N62" s="788">
        <f>M62/K62*100 %</f>
        <v>0.13673130061143871</v>
      </c>
    </row>
    <row r="63" spans="1:14">
      <c r="A63" s="614"/>
      <c r="B63" s="614"/>
      <c r="C63" s="614"/>
      <c r="D63" s="614"/>
      <c r="E63" s="614"/>
      <c r="F63" s="614"/>
      <c r="G63" s="615"/>
      <c r="H63" s="821"/>
      <c r="I63" s="793"/>
      <c r="J63" s="621"/>
      <c r="K63" s="823"/>
      <c r="L63" s="823"/>
      <c r="M63" s="801"/>
      <c r="N63" s="789"/>
    </row>
    <row r="64" spans="1:14" ht="13.5" customHeight="1">
      <c r="A64" s="614"/>
      <c r="B64" s="614"/>
      <c r="C64" s="614"/>
      <c r="D64" s="614"/>
      <c r="E64" s="614"/>
      <c r="F64" s="614"/>
      <c r="G64" s="615"/>
      <c r="H64" s="628"/>
      <c r="I64" s="608"/>
      <c r="J64" s="792" t="s">
        <v>1175</v>
      </c>
      <c r="K64" s="796">
        <v>68995</v>
      </c>
      <c r="L64" s="796">
        <v>51160</v>
      </c>
      <c r="M64" s="800">
        <f>L64-K64</f>
        <v>-17835</v>
      </c>
      <c r="N64" s="788">
        <f>M64/K64*100 %</f>
        <v>-0.25849699253569097</v>
      </c>
    </row>
    <row r="65" spans="1:14">
      <c r="A65" s="614"/>
      <c r="B65" s="614"/>
      <c r="C65" s="614"/>
      <c r="D65" s="614"/>
      <c r="E65" s="614"/>
      <c r="F65" s="614"/>
      <c r="G65" s="615"/>
      <c r="H65" s="607"/>
      <c r="I65" s="608"/>
      <c r="J65" s="819"/>
      <c r="K65" s="797"/>
      <c r="L65" s="797"/>
      <c r="M65" s="801"/>
      <c r="N65" s="789"/>
    </row>
    <row r="66" spans="1:14" ht="13.5" customHeight="1">
      <c r="A66" s="614"/>
      <c r="B66" s="614"/>
      <c r="C66" s="614"/>
      <c r="D66" s="614"/>
      <c r="E66" s="614"/>
      <c r="F66" s="614"/>
      <c r="G66" s="615"/>
      <c r="H66" s="628"/>
      <c r="I66" s="608"/>
      <c r="J66" s="792" t="s">
        <v>1176</v>
      </c>
      <c r="K66" s="796">
        <v>20783</v>
      </c>
      <c r="L66" s="796">
        <v>19530</v>
      </c>
      <c r="M66" s="800">
        <f>L66-K66</f>
        <v>-1253</v>
      </c>
      <c r="N66" s="788">
        <f>M66/K66*100 %</f>
        <v>-6.0289659818120581E-2</v>
      </c>
    </row>
    <row r="67" spans="1:14">
      <c r="A67" s="618"/>
      <c r="B67" s="618"/>
      <c r="C67" s="618"/>
      <c r="D67" s="618"/>
      <c r="E67" s="618"/>
      <c r="F67" s="618"/>
      <c r="G67" s="617"/>
      <c r="H67" s="620"/>
      <c r="I67" s="630"/>
      <c r="J67" s="793"/>
      <c r="K67" s="797"/>
      <c r="L67" s="797"/>
      <c r="M67" s="801"/>
      <c r="N67" s="789"/>
    </row>
    <row r="68" spans="1:14">
      <c r="A68" s="622"/>
      <c r="B68" s="622"/>
      <c r="C68" s="622"/>
      <c r="D68" s="622"/>
      <c r="E68" s="622"/>
      <c r="F68" s="622"/>
      <c r="G68" s="622"/>
      <c r="H68" s="623"/>
      <c r="I68" s="623"/>
      <c r="J68" s="624"/>
      <c r="K68" s="625"/>
      <c r="L68" s="625"/>
      <c r="M68" s="626"/>
      <c r="N68" s="626"/>
    </row>
    <row r="69" spans="1:14">
      <c r="A69" s="622"/>
      <c r="B69" s="622"/>
      <c r="C69" s="622"/>
      <c r="D69" s="622"/>
      <c r="E69" s="622"/>
      <c r="F69" s="622"/>
      <c r="G69" s="622"/>
      <c r="H69" s="623"/>
      <c r="I69" s="623"/>
      <c r="J69" s="624"/>
      <c r="K69" s="625"/>
      <c r="L69" s="625"/>
      <c r="M69" s="626"/>
      <c r="N69" s="626"/>
    </row>
    <row r="70" spans="1:14">
      <c r="H70" s="631"/>
      <c r="I70" s="631"/>
    </row>
    <row r="71" spans="1:14" s="591" customFormat="1" ht="15" customHeight="1">
      <c r="A71" s="593" t="s">
        <v>837</v>
      </c>
      <c r="C71" s="594"/>
      <c r="D71" s="595"/>
      <c r="E71" s="595"/>
      <c r="F71" s="595"/>
      <c r="G71" s="595"/>
      <c r="M71" s="596"/>
      <c r="N71" s="596" t="s">
        <v>838</v>
      </c>
    </row>
    <row r="72" spans="1:14" s="591" customFormat="1" ht="24.95" customHeight="1">
      <c r="A72" s="815" t="s">
        <v>839</v>
      </c>
      <c r="B72" s="815"/>
      <c r="C72" s="815"/>
      <c r="D72" s="815"/>
      <c r="E72" s="815"/>
      <c r="F72" s="815"/>
      <c r="G72" s="816"/>
      <c r="H72" s="817" t="s">
        <v>831</v>
      </c>
      <c r="I72" s="818"/>
      <c r="J72" s="818"/>
      <c r="K72" s="818"/>
      <c r="L72" s="818"/>
      <c r="M72" s="818"/>
      <c r="N72" s="813"/>
    </row>
    <row r="73" spans="1:14" s="591" customFormat="1" ht="15" customHeight="1">
      <c r="A73" s="809" t="s">
        <v>840</v>
      </c>
      <c r="B73" s="809" t="s">
        <v>832</v>
      </c>
      <c r="C73" s="809" t="s">
        <v>833</v>
      </c>
      <c r="D73" s="811" t="s">
        <v>1233</v>
      </c>
      <c r="E73" s="811" t="s">
        <v>1127</v>
      </c>
      <c r="F73" s="809" t="s">
        <v>834</v>
      </c>
      <c r="G73" s="814"/>
      <c r="H73" s="807" t="s">
        <v>1177</v>
      </c>
      <c r="I73" s="809" t="s">
        <v>4</v>
      </c>
      <c r="J73" s="809" t="s">
        <v>1178</v>
      </c>
      <c r="K73" s="811" t="s">
        <v>1126</v>
      </c>
      <c r="L73" s="811" t="s">
        <v>1127</v>
      </c>
      <c r="M73" s="812" t="s">
        <v>1128</v>
      </c>
      <c r="N73" s="813"/>
    </row>
    <row r="74" spans="1:14" s="591" customFormat="1" ht="15" customHeight="1">
      <c r="A74" s="810"/>
      <c r="B74" s="810"/>
      <c r="C74" s="810"/>
      <c r="D74" s="810"/>
      <c r="E74" s="810"/>
      <c r="F74" s="598" t="s">
        <v>835</v>
      </c>
      <c r="G74" s="627" t="s">
        <v>836</v>
      </c>
      <c r="H74" s="808"/>
      <c r="I74" s="810"/>
      <c r="J74" s="810"/>
      <c r="K74" s="810"/>
      <c r="L74" s="810"/>
      <c r="M74" s="597" t="s">
        <v>1179</v>
      </c>
      <c r="N74" s="735" t="s">
        <v>1130</v>
      </c>
    </row>
    <row r="75" spans="1:14" s="622" customFormat="1" ht="13.5" customHeight="1">
      <c r="A75" s="614"/>
      <c r="B75" s="614"/>
      <c r="C75" s="614"/>
      <c r="D75" s="614"/>
      <c r="E75" s="614"/>
      <c r="F75" s="614"/>
      <c r="G75" s="613"/>
      <c r="H75" s="632"/>
      <c r="I75" s="614"/>
      <c r="J75" s="792" t="s">
        <v>1180</v>
      </c>
      <c r="K75" s="796">
        <v>367719</v>
      </c>
      <c r="L75" s="796">
        <v>357614</v>
      </c>
      <c r="M75" s="800">
        <f>L75-K75</f>
        <v>-10105</v>
      </c>
      <c r="N75" s="788">
        <f>M75/K75*100 %</f>
        <v>-2.7480222670027928E-2</v>
      </c>
    </row>
    <row r="76" spans="1:14">
      <c r="A76" s="614"/>
      <c r="B76" s="614"/>
      <c r="C76" s="614"/>
      <c r="D76" s="614"/>
      <c r="E76" s="614"/>
      <c r="F76" s="614"/>
      <c r="G76" s="613"/>
      <c r="H76" s="607"/>
      <c r="I76" s="608"/>
      <c r="J76" s="793"/>
      <c r="K76" s="797"/>
      <c r="L76" s="797"/>
      <c r="M76" s="801"/>
      <c r="N76" s="789"/>
    </row>
    <row r="77" spans="1:14" s="622" customFormat="1" ht="13.5" customHeight="1">
      <c r="A77" s="614"/>
      <c r="B77" s="614"/>
      <c r="C77" s="614"/>
      <c r="D77" s="614"/>
      <c r="E77" s="614"/>
      <c r="F77" s="614"/>
      <c r="G77" s="613"/>
      <c r="H77" s="632"/>
      <c r="I77" s="614"/>
      <c r="J77" s="792" t="s">
        <v>267</v>
      </c>
      <c r="K77" s="796">
        <v>263366</v>
      </c>
      <c r="L77" s="796">
        <v>242977</v>
      </c>
      <c r="M77" s="800">
        <f>L77-K77</f>
        <v>-20389</v>
      </c>
      <c r="N77" s="788">
        <f>M77/K77*100 %</f>
        <v>-7.7416978653280982E-2</v>
      </c>
    </row>
    <row r="78" spans="1:14">
      <c r="A78" s="614"/>
      <c r="B78" s="614"/>
      <c r="C78" s="614"/>
      <c r="D78" s="614"/>
      <c r="E78" s="614"/>
      <c r="F78" s="614"/>
      <c r="G78" s="613"/>
      <c r="H78" s="607"/>
      <c r="I78" s="608"/>
      <c r="J78" s="793"/>
      <c r="K78" s="797"/>
      <c r="L78" s="797"/>
      <c r="M78" s="801"/>
      <c r="N78" s="789"/>
    </row>
    <row r="79" spans="1:14" ht="13.5" customHeight="1">
      <c r="A79" s="614"/>
      <c r="B79" s="614"/>
      <c r="C79" s="614"/>
      <c r="D79" s="614"/>
      <c r="E79" s="614"/>
      <c r="F79" s="614"/>
      <c r="G79" s="615"/>
      <c r="H79" s="633"/>
      <c r="I79" s="634"/>
      <c r="J79" s="792" t="s">
        <v>1181</v>
      </c>
      <c r="K79" s="796">
        <v>4896</v>
      </c>
      <c r="L79" s="796">
        <v>7810</v>
      </c>
      <c r="M79" s="800">
        <f>L79-K79</f>
        <v>2914</v>
      </c>
      <c r="N79" s="788">
        <f>M79/K79*100 %</f>
        <v>0.5951797385620915</v>
      </c>
    </row>
    <row r="80" spans="1:14">
      <c r="A80" s="614"/>
      <c r="B80" s="614"/>
      <c r="C80" s="614"/>
      <c r="D80" s="613"/>
      <c r="E80" s="614"/>
      <c r="F80" s="635"/>
      <c r="G80" s="615"/>
      <c r="H80" s="601"/>
      <c r="I80" s="602"/>
      <c r="J80" s="793"/>
      <c r="K80" s="797"/>
      <c r="L80" s="797"/>
      <c r="M80" s="801"/>
      <c r="N80" s="789"/>
    </row>
    <row r="81" spans="1:14" ht="19.5" customHeight="1">
      <c r="A81" s="614"/>
      <c r="B81" s="614"/>
      <c r="C81" s="614"/>
      <c r="D81" s="613"/>
      <c r="E81" s="614"/>
      <c r="F81" s="635"/>
      <c r="G81" s="615"/>
      <c r="H81" s="633"/>
      <c r="I81" s="634"/>
      <c r="J81" s="792" t="s">
        <v>1182</v>
      </c>
      <c r="K81" s="796">
        <v>28302</v>
      </c>
      <c r="L81" s="796">
        <v>15733</v>
      </c>
      <c r="M81" s="800">
        <f>L81-K81</f>
        <v>-12569</v>
      </c>
      <c r="N81" s="788">
        <f>M81/K81*100 %</f>
        <v>-0.44410289025510563</v>
      </c>
    </row>
    <row r="82" spans="1:14" ht="19.5" customHeight="1">
      <c r="A82" s="614"/>
      <c r="B82" s="622"/>
      <c r="C82" s="614"/>
      <c r="D82" s="622"/>
      <c r="E82" s="614"/>
      <c r="F82" s="622"/>
      <c r="G82" s="615"/>
      <c r="H82" s="601"/>
      <c r="I82" s="602"/>
      <c r="J82" s="793"/>
      <c r="K82" s="797"/>
      <c r="L82" s="797"/>
      <c r="M82" s="801"/>
      <c r="N82" s="789"/>
    </row>
    <row r="83" spans="1:14" ht="16.5" customHeight="1">
      <c r="A83" s="614"/>
      <c r="B83" s="614"/>
      <c r="C83" s="614"/>
      <c r="D83" s="613"/>
      <c r="E83" s="614"/>
      <c r="F83" s="635"/>
      <c r="G83" s="615"/>
      <c r="H83" s="633"/>
      <c r="I83" s="634"/>
      <c r="J83" s="802" t="s">
        <v>1183</v>
      </c>
      <c r="K83" s="796">
        <v>222974</v>
      </c>
      <c r="L83" s="796">
        <v>121332</v>
      </c>
      <c r="M83" s="800">
        <f>L83-K83</f>
        <v>-101642</v>
      </c>
      <c r="N83" s="788">
        <f>M83/K83*100 %</f>
        <v>-0.4558468700386592</v>
      </c>
    </row>
    <row r="84" spans="1:14" ht="16.5" customHeight="1">
      <c r="A84" s="614"/>
      <c r="B84" s="622"/>
      <c r="C84" s="614"/>
      <c r="D84" s="622"/>
      <c r="E84" s="614"/>
      <c r="F84" s="622"/>
      <c r="G84" s="615"/>
      <c r="H84" s="601"/>
      <c r="I84" s="602"/>
      <c r="J84" s="804"/>
      <c r="K84" s="797"/>
      <c r="L84" s="797"/>
      <c r="M84" s="801"/>
      <c r="N84" s="789"/>
    </row>
    <row r="85" spans="1:14" ht="20.25" customHeight="1">
      <c r="A85" s="614"/>
      <c r="B85" s="614"/>
      <c r="C85" s="614"/>
      <c r="D85" s="613"/>
      <c r="E85" s="614"/>
      <c r="F85" s="635"/>
      <c r="G85" s="615"/>
      <c r="H85" s="633"/>
      <c r="I85" s="634"/>
      <c r="J85" s="802" t="s">
        <v>1184</v>
      </c>
      <c r="K85" s="796">
        <v>4150</v>
      </c>
      <c r="L85" s="796">
        <v>313200</v>
      </c>
      <c r="M85" s="800">
        <f>L85-K85</f>
        <v>309050</v>
      </c>
      <c r="N85" s="788">
        <f>M85/K85*100 %</f>
        <v>74.46987951807229</v>
      </c>
    </row>
    <row r="86" spans="1:14" ht="20.25" customHeight="1">
      <c r="A86" s="614"/>
      <c r="B86" s="622"/>
      <c r="C86" s="614"/>
      <c r="D86" s="622"/>
      <c r="E86" s="614"/>
      <c r="F86" s="622"/>
      <c r="G86" s="615"/>
      <c r="H86" s="601"/>
      <c r="I86" s="602"/>
      <c r="J86" s="804"/>
      <c r="K86" s="797"/>
      <c r="L86" s="797"/>
      <c r="M86" s="801"/>
      <c r="N86" s="789"/>
    </row>
    <row r="87" spans="1:14" ht="19.5" customHeight="1">
      <c r="A87" s="614"/>
      <c r="B87" s="614"/>
      <c r="C87" s="614"/>
      <c r="D87" s="613"/>
      <c r="E87" s="614"/>
      <c r="F87" s="635"/>
      <c r="G87" s="615"/>
      <c r="H87" s="633"/>
      <c r="I87" s="634"/>
      <c r="J87" s="802" t="s">
        <v>1185</v>
      </c>
      <c r="K87" s="796">
        <v>0</v>
      </c>
      <c r="L87" s="796">
        <v>0</v>
      </c>
      <c r="M87" s="800">
        <f>L87-K87</f>
        <v>0</v>
      </c>
      <c r="N87" s="788" t="e">
        <f>M87/K87*100 %</f>
        <v>#DIV/0!</v>
      </c>
    </row>
    <row r="88" spans="1:14" ht="19.5" customHeight="1">
      <c r="A88" s="614"/>
      <c r="B88" s="622"/>
      <c r="C88" s="614"/>
      <c r="D88" s="622"/>
      <c r="E88" s="614"/>
      <c r="F88" s="622"/>
      <c r="G88" s="615"/>
      <c r="H88" s="601"/>
      <c r="I88" s="602"/>
      <c r="J88" s="804"/>
      <c r="K88" s="797"/>
      <c r="L88" s="797"/>
      <c r="M88" s="801"/>
      <c r="N88" s="789"/>
    </row>
    <row r="89" spans="1:14" ht="13.5" customHeight="1">
      <c r="A89" s="614"/>
      <c r="B89" s="614"/>
      <c r="C89" s="614"/>
      <c r="D89" s="613"/>
      <c r="E89" s="614"/>
      <c r="F89" s="635"/>
      <c r="G89" s="615"/>
      <c r="H89" s="633"/>
      <c r="I89" s="634"/>
      <c r="J89" s="802" t="s">
        <v>1186</v>
      </c>
      <c r="K89" s="796">
        <v>0</v>
      </c>
      <c r="L89" s="796">
        <v>0</v>
      </c>
      <c r="M89" s="805">
        <f>L89-K89</f>
        <v>0</v>
      </c>
      <c r="N89" s="788" t="e">
        <f>M89/K89*100 %</f>
        <v>#DIV/0!</v>
      </c>
    </row>
    <row r="90" spans="1:14">
      <c r="A90" s="614"/>
      <c r="B90" s="622"/>
      <c r="C90" s="614"/>
      <c r="D90" s="622"/>
      <c r="E90" s="614"/>
      <c r="F90" s="622"/>
      <c r="G90" s="615"/>
      <c r="H90" s="601"/>
      <c r="I90" s="602"/>
      <c r="J90" s="804"/>
      <c r="K90" s="797"/>
      <c r="L90" s="797"/>
      <c r="M90" s="806"/>
      <c r="N90" s="789"/>
    </row>
    <row r="91" spans="1:14" ht="13.5" customHeight="1">
      <c r="A91" s="614"/>
      <c r="B91" s="622"/>
      <c r="C91" s="614"/>
      <c r="D91" s="622"/>
      <c r="E91" s="614"/>
      <c r="F91" s="622"/>
      <c r="G91" s="615"/>
      <c r="H91" s="601"/>
      <c r="I91" s="602"/>
      <c r="J91" s="802" t="s">
        <v>480</v>
      </c>
      <c r="K91" s="802">
        <v>103797</v>
      </c>
      <c r="L91" s="802">
        <v>103977</v>
      </c>
      <c r="M91" s="800">
        <f>L91-K91</f>
        <v>180</v>
      </c>
      <c r="N91" s="788">
        <f>M91/K91*100 %</f>
        <v>1.7341541663053845E-3</v>
      </c>
    </row>
    <row r="92" spans="1:14">
      <c r="A92" s="614"/>
      <c r="B92" s="622"/>
      <c r="C92" s="614"/>
      <c r="D92" s="622"/>
      <c r="E92" s="614"/>
      <c r="F92" s="622"/>
      <c r="G92" s="615"/>
      <c r="H92" s="601"/>
      <c r="I92" s="602"/>
      <c r="J92" s="803"/>
      <c r="K92" s="803"/>
      <c r="L92" s="803"/>
      <c r="M92" s="801"/>
      <c r="N92" s="789"/>
    </row>
    <row r="93" spans="1:14" ht="13.5" customHeight="1">
      <c r="A93" s="614"/>
      <c r="B93" s="614"/>
      <c r="C93" s="614"/>
      <c r="D93" s="613"/>
      <c r="E93" s="614"/>
      <c r="F93" s="635"/>
      <c r="G93" s="615"/>
      <c r="H93" s="633"/>
      <c r="I93" s="634"/>
      <c r="J93" s="792" t="s">
        <v>494</v>
      </c>
      <c r="K93" s="796">
        <v>0</v>
      </c>
      <c r="L93" s="796">
        <v>0</v>
      </c>
      <c r="M93" s="800">
        <f>L93-K93</f>
        <v>0</v>
      </c>
      <c r="N93" s="788" t="e">
        <f>M93/K93*100 %</f>
        <v>#DIV/0!</v>
      </c>
    </row>
    <row r="94" spans="1:14">
      <c r="A94" s="614"/>
      <c r="B94" s="622"/>
      <c r="C94" s="614"/>
      <c r="D94" s="622"/>
      <c r="E94" s="614"/>
      <c r="F94" s="622"/>
      <c r="G94" s="615"/>
      <c r="H94" s="601"/>
      <c r="I94" s="602"/>
      <c r="J94" s="793"/>
      <c r="K94" s="797"/>
      <c r="L94" s="797"/>
      <c r="M94" s="801"/>
      <c r="N94" s="789"/>
    </row>
    <row r="95" spans="1:14" ht="13.5" customHeight="1">
      <c r="A95" s="614"/>
      <c r="B95" s="622"/>
      <c r="C95" s="614"/>
      <c r="D95" s="622"/>
      <c r="E95" s="614"/>
      <c r="F95" s="622"/>
      <c r="G95" s="615"/>
      <c r="H95" s="790" t="s">
        <v>1187</v>
      </c>
      <c r="I95" s="792" t="s">
        <v>1187</v>
      </c>
      <c r="J95" s="794" t="s">
        <v>611</v>
      </c>
      <c r="K95" s="796">
        <v>124</v>
      </c>
      <c r="L95" s="796">
        <v>0</v>
      </c>
      <c r="M95" s="800">
        <f>L95-K95</f>
        <v>-124</v>
      </c>
      <c r="N95" s="788">
        <f>M95/K95*100 %</f>
        <v>-1</v>
      </c>
    </row>
    <row r="96" spans="1:14">
      <c r="A96" s="614"/>
      <c r="B96" s="622"/>
      <c r="C96" s="614"/>
      <c r="D96" s="622"/>
      <c r="E96" s="614"/>
      <c r="F96" s="622"/>
      <c r="G96" s="615"/>
      <c r="H96" s="791"/>
      <c r="I96" s="793"/>
      <c r="J96" s="795"/>
      <c r="K96" s="797"/>
      <c r="L96" s="797"/>
      <c r="M96" s="801"/>
      <c r="N96" s="789"/>
    </row>
    <row r="97" spans="1:14">
      <c r="A97" s="614"/>
      <c r="B97" s="622"/>
      <c r="C97" s="614"/>
      <c r="D97" s="622"/>
      <c r="E97" s="614"/>
      <c r="F97" s="622"/>
      <c r="G97" s="615"/>
      <c r="H97" s="790" t="s">
        <v>497</v>
      </c>
      <c r="I97" s="792" t="s">
        <v>1188</v>
      </c>
      <c r="J97" s="794" t="s">
        <v>1189</v>
      </c>
      <c r="K97" s="796">
        <v>10882</v>
      </c>
      <c r="L97" s="796">
        <v>5859</v>
      </c>
      <c r="M97" s="798">
        <f>L97-K97</f>
        <v>-5023</v>
      </c>
      <c r="N97" s="788">
        <f>M97/K97*100 %</f>
        <v>-0.46158794339275866</v>
      </c>
    </row>
    <row r="98" spans="1:14">
      <c r="A98" s="618"/>
      <c r="B98" s="621"/>
      <c r="C98" s="618"/>
      <c r="D98" s="621"/>
      <c r="E98" s="618"/>
      <c r="F98" s="621"/>
      <c r="G98" s="619"/>
      <c r="H98" s="791"/>
      <c r="I98" s="793"/>
      <c r="J98" s="795"/>
      <c r="K98" s="797"/>
      <c r="L98" s="797"/>
      <c r="M98" s="799"/>
      <c r="N98" s="789"/>
    </row>
  </sheetData>
  <mergeCells count="316">
    <mergeCell ref="A1:N1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M5:N5"/>
    <mergeCell ref="A7:A8"/>
    <mergeCell ref="B7:B8"/>
    <mergeCell ref="C7:C8"/>
    <mergeCell ref="D7:D8"/>
    <mergeCell ref="E7:E8"/>
    <mergeCell ref="L7:L8"/>
    <mergeCell ref="M7:M8"/>
    <mergeCell ref="N7:N8"/>
    <mergeCell ref="A9:A10"/>
    <mergeCell ref="B9:B10"/>
    <mergeCell ref="C9:C10"/>
    <mergeCell ref="D9:D10"/>
    <mergeCell ref="E9:E10"/>
    <mergeCell ref="F9:F10"/>
    <mergeCell ref="G9:G10"/>
    <mergeCell ref="F7:F8"/>
    <mergeCell ref="G7:G8"/>
    <mergeCell ref="H7:H8"/>
    <mergeCell ref="I7:I8"/>
    <mergeCell ref="J7:J8"/>
    <mergeCell ref="K7:K8"/>
    <mergeCell ref="N9:N10"/>
    <mergeCell ref="H9:H10"/>
    <mergeCell ref="I9:I10"/>
    <mergeCell ref="C11:C12"/>
    <mergeCell ref="D11:D12"/>
    <mergeCell ref="E11:E12"/>
    <mergeCell ref="F11:F12"/>
    <mergeCell ref="G11:G12"/>
    <mergeCell ref="I11:I13"/>
    <mergeCell ref="J11:J13"/>
    <mergeCell ref="K11:K13"/>
    <mergeCell ref="L11:L13"/>
    <mergeCell ref="A13:A14"/>
    <mergeCell ref="B13:B14"/>
    <mergeCell ref="C13:C14"/>
    <mergeCell ref="D13:D14"/>
    <mergeCell ref="E13:E14"/>
    <mergeCell ref="F13:F14"/>
    <mergeCell ref="G13:G14"/>
    <mergeCell ref="J14:J16"/>
    <mergeCell ref="L14:L16"/>
    <mergeCell ref="A15:A16"/>
    <mergeCell ref="B15:B16"/>
    <mergeCell ref="C15:C16"/>
    <mergeCell ref="D15:D16"/>
    <mergeCell ref="E15:E16"/>
    <mergeCell ref="F15:F16"/>
    <mergeCell ref="G15:G16"/>
    <mergeCell ref="K14:K16"/>
    <mergeCell ref="J17:J18"/>
    <mergeCell ref="K17:K18"/>
    <mergeCell ref="J9:J10"/>
    <mergeCell ref="K9:K10"/>
    <mergeCell ref="L9:L10"/>
    <mergeCell ref="M9:M10"/>
    <mergeCell ref="M11:M13"/>
    <mergeCell ref="N11:N13"/>
    <mergeCell ref="M14:M16"/>
    <mergeCell ref="N14:N16"/>
    <mergeCell ref="F19:F20"/>
    <mergeCell ref="G19:G20"/>
    <mergeCell ref="L17:L18"/>
    <mergeCell ref="M17:M18"/>
    <mergeCell ref="N17:N18"/>
    <mergeCell ref="A19:A20"/>
    <mergeCell ref="B19:B20"/>
    <mergeCell ref="C19:C20"/>
    <mergeCell ref="D19:D20"/>
    <mergeCell ref="E19:E20"/>
    <mergeCell ref="L19:L20"/>
    <mergeCell ref="M19:M20"/>
    <mergeCell ref="N19:N20"/>
    <mergeCell ref="H19:H20"/>
    <mergeCell ref="I19:I20"/>
    <mergeCell ref="J19:J20"/>
    <mergeCell ref="K19:K20"/>
    <mergeCell ref="A17:A18"/>
    <mergeCell ref="B17:B18"/>
    <mergeCell ref="C17:C18"/>
    <mergeCell ref="D17:D18"/>
    <mergeCell ref="E17:E18"/>
    <mergeCell ref="F17:F18"/>
    <mergeCell ref="G17:G18"/>
    <mergeCell ref="J21:J22"/>
    <mergeCell ref="K21:K22"/>
    <mergeCell ref="L21:L22"/>
    <mergeCell ref="M21:M22"/>
    <mergeCell ref="N21:N22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F21:F22"/>
    <mergeCell ref="G21:G22"/>
    <mergeCell ref="D25:D26"/>
    <mergeCell ref="E25:E26"/>
    <mergeCell ref="F25:F26"/>
    <mergeCell ref="G25:G26"/>
    <mergeCell ref="I25:I26"/>
    <mergeCell ref="J25:J26"/>
    <mergeCell ref="K25:K26"/>
    <mergeCell ref="F23:F24"/>
    <mergeCell ref="G23:G24"/>
    <mergeCell ref="H23:H24"/>
    <mergeCell ref="I23:I24"/>
    <mergeCell ref="J23:J24"/>
    <mergeCell ref="K23:K24"/>
    <mergeCell ref="L25:L26"/>
    <mergeCell ref="M25:M26"/>
    <mergeCell ref="N25:N26"/>
    <mergeCell ref="J27:J28"/>
    <mergeCell ref="K27:K28"/>
    <mergeCell ref="L27:L28"/>
    <mergeCell ref="M27:M28"/>
    <mergeCell ref="N27:N28"/>
    <mergeCell ref="L23:L24"/>
    <mergeCell ref="M23:M24"/>
    <mergeCell ref="N23:N24"/>
    <mergeCell ref="J29:J30"/>
    <mergeCell ref="K29:K30"/>
    <mergeCell ref="L29:L30"/>
    <mergeCell ref="M29:M30"/>
    <mergeCell ref="N29:N30"/>
    <mergeCell ref="I31:I32"/>
    <mergeCell ref="K31:K32"/>
    <mergeCell ref="L31:L32"/>
    <mergeCell ref="M31:M32"/>
    <mergeCell ref="N31:N32"/>
    <mergeCell ref="A37:G37"/>
    <mergeCell ref="H37:N37"/>
    <mergeCell ref="A38:A39"/>
    <mergeCell ref="B38:B39"/>
    <mergeCell ref="C38:C39"/>
    <mergeCell ref="D38:D39"/>
    <mergeCell ref="E38:E39"/>
    <mergeCell ref="F38:G38"/>
    <mergeCell ref="H38:H39"/>
    <mergeCell ref="I38:I39"/>
    <mergeCell ref="J38:J39"/>
    <mergeCell ref="K38:K39"/>
    <mergeCell ref="L38:L39"/>
    <mergeCell ref="M38:N38"/>
    <mergeCell ref="J40:J41"/>
    <mergeCell ref="K40:K41"/>
    <mergeCell ref="L40:L41"/>
    <mergeCell ref="M40:M41"/>
    <mergeCell ref="N40:N41"/>
    <mergeCell ref="J42:J43"/>
    <mergeCell ref="K42:K43"/>
    <mergeCell ref="L42:L43"/>
    <mergeCell ref="M42:M43"/>
    <mergeCell ref="N42:N43"/>
    <mergeCell ref="J44:J45"/>
    <mergeCell ref="K44:K45"/>
    <mergeCell ref="L44:L45"/>
    <mergeCell ref="M44:M45"/>
    <mergeCell ref="N44:N45"/>
    <mergeCell ref="J46:J47"/>
    <mergeCell ref="K46:K47"/>
    <mergeCell ref="L46:L47"/>
    <mergeCell ref="M46:M47"/>
    <mergeCell ref="N46:N47"/>
    <mergeCell ref="J48:J49"/>
    <mergeCell ref="K48:K49"/>
    <mergeCell ref="L48:L49"/>
    <mergeCell ref="M48:M49"/>
    <mergeCell ref="N48:N49"/>
    <mergeCell ref="H54:H55"/>
    <mergeCell ref="I54:I55"/>
    <mergeCell ref="K54:K55"/>
    <mergeCell ref="L54:L55"/>
    <mergeCell ref="M54:M55"/>
    <mergeCell ref="N54:N55"/>
    <mergeCell ref="J50:J51"/>
    <mergeCell ref="K50:K51"/>
    <mergeCell ref="L50:L51"/>
    <mergeCell ref="M50:M51"/>
    <mergeCell ref="N50:N51"/>
    <mergeCell ref="J52:J53"/>
    <mergeCell ref="K52:K53"/>
    <mergeCell ref="L52:L53"/>
    <mergeCell ref="M52:M53"/>
    <mergeCell ref="N52:N53"/>
    <mergeCell ref="N56:N57"/>
    <mergeCell ref="J58:J59"/>
    <mergeCell ref="K58:K59"/>
    <mergeCell ref="L58:L59"/>
    <mergeCell ref="M58:M59"/>
    <mergeCell ref="N58:N59"/>
    <mergeCell ref="H56:H57"/>
    <mergeCell ref="I56:I57"/>
    <mergeCell ref="J56:J57"/>
    <mergeCell ref="K56:K57"/>
    <mergeCell ref="L56:L57"/>
    <mergeCell ref="M56:M57"/>
    <mergeCell ref="J60:J61"/>
    <mergeCell ref="K60:K61"/>
    <mergeCell ref="L60:L61"/>
    <mergeCell ref="M60:M61"/>
    <mergeCell ref="N60:N61"/>
    <mergeCell ref="H62:H63"/>
    <mergeCell ref="I62:I63"/>
    <mergeCell ref="K62:K63"/>
    <mergeCell ref="L62:L63"/>
    <mergeCell ref="M62:M63"/>
    <mergeCell ref="J66:J67"/>
    <mergeCell ref="K66:K67"/>
    <mergeCell ref="L66:L67"/>
    <mergeCell ref="M66:M67"/>
    <mergeCell ref="N66:N67"/>
    <mergeCell ref="A72:G72"/>
    <mergeCell ref="H72:N72"/>
    <mergeCell ref="N62:N63"/>
    <mergeCell ref="J64:J65"/>
    <mergeCell ref="K64:K65"/>
    <mergeCell ref="L64:L65"/>
    <mergeCell ref="M64:M65"/>
    <mergeCell ref="N64:N65"/>
    <mergeCell ref="H73:H74"/>
    <mergeCell ref="I73:I74"/>
    <mergeCell ref="J73:J74"/>
    <mergeCell ref="K73:K74"/>
    <mergeCell ref="L73:L74"/>
    <mergeCell ref="M73:N73"/>
    <mergeCell ref="A73:A74"/>
    <mergeCell ref="B73:B74"/>
    <mergeCell ref="C73:C74"/>
    <mergeCell ref="D73:D74"/>
    <mergeCell ref="E73:E74"/>
    <mergeCell ref="F73:G73"/>
    <mergeCell ref="J75:J76"/>
    <mergeCell ref="K75:K76"/>
    <mergeCell ref="L75:L76"/>
    <mergeCell ref="M75:M76"/>
    <mergeCell ref="N75:N76"/>
    <mergeCell ref="J77:J78"/>
    <mergeCell ref="K77:K78"/>
    <mergeCell ref="L77:L78"/>
    <mergeCell ref="M77:M78"/>
    <mergeCell ref="N77:N78"/>
    <mergeCell ref="J79:J80"/>
    <mergeCell ref="K79:K80"/>
    <mergeCell ref="L79:L80"/>
    <mergeCell ref="M79:M80"/>
    <mergeCell ref="N79:N80"/>
    <mergeCell ref="J81:J82"/>
    <mergeCell ref="K81:K82"/>
    <mergeCell ref="L81:L82"/>
    <mergeCell ref="M81:M82"/>
    <mergeCell ref="N81:N82"/>
    <mergeCell ref="J83:J84"/>
    <mergeCell ref="K83:K84"/>
    <mergeCell ref="L83:L84"/>
    <mergeCell ref="M83:M84"/>
    <mergeCell ref="N83:N84"/>
    <mergeCell ref="J85:J86"/>
    <mergeCell ref="K85:K86"/>
    <mergeCell ref="L85:L86"/>
    <mergeCell ref="M85:M86"/>
    <mergeCell ref="N85:N86"/>
    <mergeCell ref="J87:J88"/>
    <mergeCell ref="K87:K88"/>
    <mergeCell ref="L87:L88"/>
    <mergeCell ref="M87:M88"/>
    <mergeCell ref="N87:N88"/>
    <mergeCell ref="J89:J90"/>
    <mergeCell ref="K89:K90"/>
    <mergeCell ref="L89:L90"/>
    <mergeCell ref="M89:M90"/>
    <mergeCell ref="N89:N90"/>
    <mergeCell ref="J91:J92"/>
    <mergeCell ref="K91:K92"/>
    <mergeCell ref="L91:L92"/>
    <mergeCell ref="M91:M92"/>
    <mergeCell ref="N91:N92"/>
    <mergeCell ref="J93:J94"/>
    <mergeCell ref="K93:K94"/>
    <mergeCell ref="L93:L94"/>
    <mergeCell ref="M93:M94"/>
    <mergeCell ref="N93:N94"/>
    <mergeCell ref="N95:N96"/>
    <mergeCell ref="H97:H98"/>
    <mergeCell ref="I97:I98"/>
    <mergeCell ref="J97:J98"/>
    <mergeCell ref="K97:K98"/>
    <mergeCell ref="L97:L98"/>
    <mergeCell ref="M97:M98"/>
    <mergeCell ref="N97:N98"/>
    <mergeCell ref="H95:H96"/>
    <mergeCell ref="I95:I96"/>
    <mergeCell ref="J95:J96"/>
    <mergeCell ref="K95:K96"/>
    <mergeCell ref="L95:L96"/>
    <mergeCell ref="M95:M96"/>
  </mergeCells>
  <phoneticPr fontId="15" type="noConversion"/>
  <pageMargins left="0.35433070866141736" right="0.35433070866141736" top="0.55118110236220474" bottom="0.82677165354330717" header="0.39370078740157483" footer="0.35433070866141736"/>
  <pageSetup paperSize="9" orientation="landscape" r:id="rId1"/>
  <headerFooter alignWithMargins="0">
    <oddFooter xml:space="preserve">&amp;C - &amp;P -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224"/>
  <sheetViews>
    <sheetView view="pageBreakPreview" topLeftCell="E25" zoomScale="115" zoomScaleNormal="115" zoomScaleSheetLayoutView="115" workbookViewId="0">
      <selection activeCell="R91" activeCellId="3" sqref="R77:R78 R80 R93 R91"/>
    </sheetView>
  </sheetViews>
  <sheetFormatPr defaultRowHeight="15" customHeight="1"/>
  <cols>
    <col min="1" max="1" width="6.33203125" style="327" customWidth="1"/>
    <col min="2" max="2" width="7" style="327" customWidth="1"/>
    <col min="3" max="3" width="8.109375" style="328" customWidth="1"/>
    <col min="4" max="4" width="9.33203125" style="328" customWidth="1"/>
    <col min="5" max="6" width="9.6640625" style="389" customWidth="1"/>
    <col min="7" max="7" width="8.5546875" style="325" customWidth="1"/>
    <col min="8" max="8" width="6.6640625" style="325" customWidth="1"/>
    <col min="9" max="9" width="26.77734375" style="327" customWidth="1"/>
    <col min="10" max="10" width="10.109375" style="390" customWidth="1"/>
    <col min="11" max="11" width="1.5546875" style="327" customWidth="1"/>
    <col min="12" max="12" width="4.21875" style="327" customWidth="1"/>
    <col min="13" max="13" width="2.5546875" style="327" customWidth="1"/>
    <col min="14" max="14" width="4" style="327" customWidth="1"/>
    <col min="15" max="15" width="3.44140625" style="327" customWidth="1"/>
    <col min="16" max="16" width="3" style="327" customWidth="1"/>
    <col min="17" max="17" width="1.77734375" style="327" customWidth="1"/>
    <col min="18" max="18" width="12.6640625" style="391" customWidth="1"/>
    <col min="19" max="20" width="12.21875" style="390" hidden="1" customWidth="1"/>
    <col min="21" max="21" width="8.88671875" style="327"/>
    <col min="22" max="22" width="11" style="327" customWidth="1"/>
    <col min="23" max="23" width="12.6640625" style="327" customWidth="1"/>
    <col min="24" max="24" width="9.88671875" style="327" bestFit="1" customWidth="1"/>
    <col min="25" max="16384" width="8.88671875" style="327"/>
  </cols>
  <sheetData>
    <row r="1" spans="1:26" s="94" customFormat="1" ht="13.5" customHeight="1">
      <c r="A1" s="1" t="s">
        <v>507</v>
      </c>
      <c r="B1" s="1"/>
      <c r="C1" s="2" t="s">
        <v>1</v>
      </c>
      <c r="D1" s="2"/>
      <c r="E1" s="345"/>
      <c r="F1" s="345"/>
      <c r="G1" s="346"/>
      <c r="H1" s="346"/>
      <c r="I1" s="5"/>
      <c r="J1" s="5"/>
      <c r="K1" s="5"/>
      <c r="L1" s="5"/>
      <c r="M1" s="5">
        <v>39529360</v>
      </c>
      <c r="N1" s="5"/>
      <c r="O1" s="5"/>
      <c r="P1" s="5"/>
      <c r="Q1" s="5"/>
      <c r="R1" s="6" t="s">
        <v>2</v>
      </c>
      <c r="S1" s="7"/>
      <c r="T1" s="7"/>
    </row>
    <row r="2" spans="1:26" s="94" customFormat="1" ht="13.5" customHeight="1">
      <c r="A2" s="882" t="s">
        <v>3</v>
      </c>
      <c r="B2" s="882" t="s">
        <v>4</v>
      </c>
      <c r="C2" s="882" t="s">
        <v>5</v>
      </c>
      <c r="D2" s="882" t="s">
        <v>6</v>
      </c>
      <c r="E2" s="347" t="s">
        <v>1246</v>
      </c>
      <c r="F2" s="347" t="s">
        <v>1036</v>
      </c>
      <c r="G2" s="884" t="s">
        <v>508</v>
      </c>
      <c r="H2" s="885"/>
      <c r="I2" s="876" t="s">
        <v>509</v>
      </c>
      <c r="J2" s="877"/>
      <c r="K2" s="877"/>
      <c r="L2" s="877"/>
      <c r="M2" s="877"/>
      <c r="N2" s="877"/>
      <c r="O2" s="877"/>
      <c r="P2" s="877"/>
      <c r="Q2" s="877"/>
      <c r="R2" s="878"/>
      <c r="S2" s="7"/>
      <c r="T2" s="7"/>
      <c r="U2" s="94" t="s">
        <v>510</v>
      </c>
      <c r="V2" s="93">
        <v>1875618000</v>
      </c>
    </row>
    <row r="3" spans="1:26" s="94" customFormat="1" ht="13.5" customHeight="1">
      <c r="A3" s="883"/>
      <c r="B3" s="883"/>
      <c r="C3" s="883"/>
      <c r="D3" s="883"/>
      <c r="E3" s="348" t="s">
        <v>1035</v>
      </c>
      <c r="F3" s="348" t="s">
        <v>1037</v>
      </c>
      <c r="G3" s="13" t="s">
        <v>511</v>
      </c>
      <c r="H3" s="13" t="s">
        <v>512</v>
      </c>
      <c r="I3" s="879"/>
      <c r="J3" s="880"/>
      <c r="K3" s="880"/>
      <c r="L3" s="880"/>
      <c r="M3" s="880"/>
      <c r="N3" s="880"/>
      <c r="O3" s="880"/>
      <c r="P3" s="880"/>
      <c r="Q3" s="880"/>
      <c r="R3" s="881"/>
      <c r="S3" s="7"/>
      <c r="T3" s="7"/>
      <c r="U3" s="94" t="s">
        <v>513</v>
      </c>
      <c r="V3" s="93">
        <v>3000000</v>
      </c>
    </row>
    <row r="4" spans="1:26" s="94" customFormat="1" ht="13.5" customHeight="1">
      <c r="A4" s="895" t="s">
        <v>514</v>
      </c>
      <c r="B4" s="895"/>
      <c r="C4" s="896" t="s">
        <v>515</v>
      </c>
      <c r="D4" s="105"/>
      <c r="E4" s="349">
        <f>E6+E14+E20+E27+E55+E60</f>
        <v>2007805</v>
      </c>
      <c r="F4" s="349">
        <f>F6+F14+F20+F27+F55+F60</f>
        <v>2132155</v>
      </c>
      <c r="G4" s="891">
        <f>F4+F5-E4-E5</f>
        <v>-3241423.97</v>
      </c>
      <c r="H4" s="893">
        <f>G4/(E4+E5)</f>
        <v>-0.477951346169045</v>
      </c>
      <c r="I4" s="106"/>
      <c r="J4" s="107"/>
      <c r="K4" s="28"/>
      <c r="L4" s="28"/>
      <c r="M4" s="28"/>
      <c r="N4" s="28"/>
      <c r="O4" s="28"/>
      <c r="P4" s="28"/>
      <c r="Q4" s="28"/>
      <c r="R4" s="350">
        <f>SUM(R7,R15,R21,R26,R54,R59)</f>
        <v>3540488030</v>
      </c>
      <c r="S4" s="7"/>
      <c r="T4" s="7"/>
      <c r="U4" s="94" t="s">
        <v>516</v>
      </c>
      <c r="V4" s="93">
        <v>5000000</v>
      </c>
    </row>
    <row r="5" spans="1:26" s="94" customFormat="1" ht="13.5" customHeight="1">
      <c r="A5" s="887"/>
      <c r="B5" s="887"/>
      <c r="C5" s="897"/>
      <c r="D5" s="24"/>
      <c r="E5" s="349">
        <f>E7+E15+E21+E28+E56+E61</f>
        <v>4774107</v>
      </c>
      <c r="F5" s="349">
        <f>F7+F15+F21+F28+F56+F61</f>
        <v>1408333.0299999998</v>
      </c>
      <c r="G5" s="892"/>
      <c r="H5" s="894"/>
      <c r="I5" s="16"/>
      <c r="J5" s="17"/>
      <c r="K5" s="18"/>
      <c r="L5" s="18"/>
      <c r="M5" s="18"/>
      <c r="N5" s="18"/>
      <c r="O5" s="18"/>
      <c r="P5" s="18"/>
      <c r="Q5" s="18"/>
      <c r="R5" s="19"/>
      <c r="S5" s="7"/>
      <c r="T5" s="7"/>
      <c r="U5" s="94" t="s">
        <v>517</v>
      </c>
      <c r="V5" s="93">
        <v>13000000</v>
      </c>
    </row>
    <row r="6" spans="1:26" s="94" customFormat="1" ht="13.5" customHeight="1">
      <c r="A6" s="886" t="s">
        <v>518</v>
      </c>
      <c r="B6" s="886" t="s">
        <v>518</v>
      </c>
      <c r="C6" s="889"/>
      <c r="D6" s="264"/>
      <c r="E6" s="349">
        <f>E8+E10</f>
        <v>2007805</v>
      </c>
      <c r="F6" s="349">
        <f>SUM(F8,F10,F12)</f>
        <v>2132155</v>
      </c>
      <c r="G6" s="891">
        <f>F6+F7-E6-E7</f>
        <v>474998.03599999985</v>
      </c>
      <c r="H6" s="893">
        <f>G6/(E6+E7)</f>
        <v>0.20276696344758191</v>
      </c>
      <c r="I6" s="35"/>
      <c r="J6" s="21"/>
      <c r="K6" s="20"/>
      <c r="L6" s="20"/>
      <c r="M6" s="20"/>
      <c r="N6" s="20"/>
      <c r="O6" s="20"/>
      <c r="P6" s="20"/>
      <c r="Q6" s="20"/>
      <c r="R6" s="155"/>
      <c r="S6" s="7"/>
      <c r="T6" s="7"/>
      <c r="U6" s="94" t="s">
        <v>1220</v>
      </c>
      <c r="V6" s="93">
        <v>8920000</v>
      </c>
    </row>
    <row r="7" spans="1:26" s="94" customFormat="1" ht="14.25" customHeight="1">
      <c r="A7" s="887"/>
      <c r="B7" s="888"/>
      <c r="C7" s="890"/>
      <c r="D7" s="73"/>
      <c r="E7" s="349">
        <f>E13</f>
        <v>334776</v>
      </c>
      <c r="F7" s="349">
        <f>F13</f>
        <v>685424.03599999996</v>
      </c>
      <c r="G7" s="892"/>
      <c r="H7" s="894"/>
      <c r="I7" s="35"/>
      <c r="J7" s="17"/>
      <c r="K7" s="18"/>
      <c r="L7" s="18"/>
      <c r="M7" s="18"/>
      <c r="N7" s="18"/>
      <c r="O7" s="18"/>
      <c r="P7" s="18"/>
      <c r="Q7" s="18"/>
      <c r="R7" s="351">
        <f>SUM(R9,R11,R13)</f>
        <v>2817579036</v>
      </c>
      <c r="S7" s="7"/>
      <c r="T7" s="7"/>
    </row>
    <row r="8" spans="1:26" s="94" customFormat="1" ht="18" customHeight="1">
      <c r="A8" s="23"/>
      <c r="B8" s="23"/>
      <c r="C8" s="333" t="s">
        <v>510</v>
      </c>
      <c r="D8" s="333"/>
      <c r="E8" s="349">
        <v>1883936</v>
      </c>
      <c r="F8" s="349">
        <f>R9/1000</f>
        <v>1905538</v>
      </c>
      <c r="G8" s="891">
        <f>F8+F9-E8-E9</f>
        <v>21602</v>
      </c>
      <c r="H8" s="893">
        <f>G8/(E8+E9)</f>
        <v>1.1466419241417967E-2</v>
      </c>
      <c r="I8" s="106" t="s">
        <v>519</v>
      </c>
      <c r="J8" s="28"/>
      <c r="K8" s="28"/>
      <c r="L8" s="28"/>
      <c r="M8" s="28"/>
      <c r="N8" s="28"/>
      <c r="O8" s="28"/>
      <c r="P8" s="28"/>
      <c r="Q8" s="28"/>
      <c r="R8" s="350">
        <f>V2+V3+V4+V5+V6</f>
        <v>1905538000</v>
      </c>
      <c r="S8" s="7"/>
      <c r="T8" s="7"/>
      <c r="U8" s="94" t="s">
        <v>520</v>
      </c>
    </row>
    <row r="9" spans="1:26" s="94" customFormat="1" ht="20.25" customHeight="1">
      <c r="A9" s="23"/>
      <c r="B9" s="23"/>
      <c r="C9" s="332" t="s">
        <v>521</v>
      </c>
      <c r="D9" s="332"/>
      <c r="E9" s="352">
        <v>0</v>
      </c>
      <c r="F9" s="352">
        <v>0</v>
      </c>
      <c r="G9" s="892"/>
      <c r="H9" s="894"/>
      <c r="I9" s="16"/>
      <c r="J9" s="18"/>
      <c r="K9" s="18"/>
      <c r="L9" s="18"/>
      <c r="M9" s="18"/>
      <c r="N9" s="18"/>
      <c r="O9" s="18"/>
      <c r="P9" s="18"/>
      <c r="Q9" s="18" t="s">
        <v>514</v>
      </c>
      <c r="R9" s="351">
        <f>SUM(R8)</f>
        <v>1905538000</v>
      </c>
      <c r="S9" s="7">
        <v>1598504000</v>
      </c>
      <c r="T9" s="7"/>
    </row>
    <row r="10" spans="1:26" s="94" customFormat="1" ht="11.25" customHeight="1">
      <c r="A10" s="23"/>
      <c r="B10" s="23"/>
      <c r="C10" s="334" t="s">
        <v>522</v>
      </c>
      <c r="D10" s="334"/>
      <c r="E10" s="353">
        <v>123869</v>
      </c>
      <c r="F10" s="353">
        <f>R11/1000</f>
        <v>226617</v>
      </c>
      <c r="G10" s="354"/>
      <c r="H10" s="355"/>
      <c r="I10" s="35" t="s">
        <v>523</v>
      </c>
      <c r="J10" s="20"/>
      <c r="K10" s="20"/>
      <c r="L10" s="20"/>
      <c r="M10" s="20"/>
      <c r="N10" s="20"/>
      <c r="O10" s="20"/>
      <c r="P10" s="20"/>
      <c r="Q10" s="20"/>
      <c r="R10" s="155">
        <v>226617000</v>
      </c>
      <c r="S10" s="7"/>
      <c r="T10" s="7"/>
    </row>
    <row r="11" spans="1:26" s="94" customFormat="1" ht="11.25" customHeight="1">
      <c r="A11" s="23"/>
      <c r="B11" s="23"/>
      <c r="C11" s="334" t="s">
        <v>521</v>
      </c>
      <c r="D11" s="334"/>
      <c r="E11" s="353"/>
      <c r="F11" s="353"/>
      <c r="G11" s="354"/>
      <c r="H11" s="355"/>
      <c r="I11" s="35"/>
      <c r="J11" s="20"/>
      <c r="K11" s="20"/>
      <c r="L11" s="20"/>
      <c r="M11" s="20"/>
      <c r="N11" s="20"/>
      <c r="O11" s="20"/>
      <c r="P11" s="20"/>
      <c r="Q11" s="18" t="s">
        <v>514</v>
      </c>
      <c r="R11" s="351">
        <f>SUM(R10)</f>
        <v>226617000</v>
      </c>
      <c r="S11" s="7">
        <v>243292000</v>
      </c>
      <c r="T11" s="7"/>
      <c r="U11" s="94" t="s">
        <v>749</v>
      </c>
      <c r="W11" s="93">
        <v>135843840</v>
      </c>
    </row>
    <row r="12" spans="1:26" s="94" customFormat="1" ht="9.75" customHeight="1">
      <c r="A12" s="23"/>
      <c r="B12" s="23"/>
      <c r="C12" s="886" t="s">
        <v>524</v>
      </c>
      <c r="D12" s="333"/>
      <c r="E12" s="349">
        <v>0</v>
      </c>
      <c r="F12" s="349">
        <v>0</v>
      </c>
      <c r="G12" s="891">
        <f>F12+F13-E12-E13</f>
        <v>350648.03599999996</v>
      </c>
      <c r="H12" s="893">
        <f>G12/(E12+E13)</f>
        <v>1.0474109135660858</v>
      </c>
      <c r="I12" s="106" t="s">
        <v>525</v>
      </c>
      <c r="J12" s="28"/>
      <c r="K12" s="28"/>
      <c r="L12" s="28"/>
      <c r="M12" s="28"/>
      <c r="N12" s="28"/>
      <c r="O12" s="28"/>
      <c r="P12" s="28"/>
      <c r="Q12" s="28"/>
      <c r="R12" s="350">
        <f>W27</f>
        <v>685424036</v>
      </c>
      <c r="S12" s="7"/>
      <c r="T12" s="7"/>
      <c r="U12" s="94" t="s">
        <v>658</v>
      </c>
      <c r="W12" s="93">
        <v>3418000</v>
      </c>
      <c r="X12" s="94" t="s">
        <v>684</v>
      </c>
      <c r="Z12" s="94" t="s">
        <v>660</v>
      </c>
    </row>
    <row r="13" spans="1:26" s="94" customFormat="1" ht="11.25" customHeight="1">
      <c r="A13" s="23"/>
      <c r="B13" s="23"/>
      <c r="C13" s="888"/>
      <c r="D13" s="332"/>
      <c r="E13" s="352">
        <v>334776</v>
      </c>
      <c r="F13" s="352">
        <f>R13/1000</f>
        <v>685424.03599999996</v>
      </c>
      <c r="G13" s="892"/>
      <c r="H13" s="894"/>
      <c r="I13" s="16"/>
      <c r="J13" s="18"/>
      <c r="K13" s="18"/>
      <c r="L13" s="18"/>
      <c r="M13" s="18"/>
      <c r="N13" s="18"/>
      <c r="O13" s="18"/>
      <c r="P13" s="18"/>
      <c r="Q13" s="18" t="s">
        <v>514</v>
      </c>
      <c r="R13" s="351">
        <f>SUM(R12)</f>
        <v>685424036</v>
      </c>
      <c r="S13" s="7"/>
      <c r="T13" s="7">
        <f>R13</f>
        <v>685424036</v>
      </c>
      <c r="U13" s="787" t="s">
        <v>659</v>
      </c>
      <c r="W13" s="93">
        <v>2342000</v>
      </c>
      <c r="X13" s="94" t="s">
        <v>684</v>
      </c>
      <c r="Z13" s="94" t="s">
        <v>661</v>
      </c>
    </row>
    <row r="14" spans="1:26" s="94" customFormat="1" ht="13.5" customHeight="1">
      <c r="A14" s="886" t="s">
        <v>526</v>
      </c>
      <c r="B14" s="886" t="s">
        <v>526</v>
      </c>
      <c r="C14" s="895"/>
      <c r="D14" s="333"/>
      <c r="E14" s="349">
        <f>E16</f>
        <v>0</v>
      </c>
      <c r="F14" s="349">
        <f>F16</f>
        <v>0</v>
      </c>
      <c r="G14" s="891">
        <f>F14+F15-E14-E15</f>
        <v>-71947</v>
      </c>
      <c r="H14" s="893">
        <f>G14/(E14+E15)</f>
        <v>-0.64268805774160986</v>
      </c>
      <c r="I14" s="106"/>
      <c r="J14" s="107"/>
      <c r="K14" s="28"/>
      <c r="L14" s="28"/>
      <c r="M14" s="28"/>
      <c r="N14" s="28"/>
      <c r="O14" s="28"/>
      <c r="P14" s="28"/>
      <c r="Q14" s="28"/>
      <c r="R14" s="357"/>
      <c r="S14" s="7"/>
      <c r="T14" s="7"/>
      <c r="U14" s="787" t="s">
        <v>559</v>
      </c>
      <c r="W14" s="93">
        <v>66864096</v>
      </c>
      <c r="X14" s="94" t="s">
        <v>556</v>
      </c>
    </row>
    <row r="15" spans="1:26" s="94" customFormat="1" ht="13.5" customHeight="1">
      <c r="A15" s="887"/>
      <c r="B15" s="887"/>
      <c r="C15" s="887"/>
      <c r="D15" s="332"/>
      <c r="E15" s="349">
        <f>E19</f>
        <v>111947</v>
      </c>
      <c r="F15" s="349">
        <f>F19</f>
        <v>40000</v>
      </c>
      <c r="G15" s="892"/>
      <c r="H15" s="894"/>
      <c r="I15" s="16"/>
      <c r="J15" s="17"/>
      <c r="K15" s="18"/>
      <c r="L15" s="18"/>
      <c r="M15" s="18"/>
      <c r="N15" s="18"/>
      <c r="O15" s="18"/>
      <c r="P15" s="18"/>
      <c r="Q15" s="18"/>
      <c r="R15" s="351">
        <f>SUM(R19)</f>
        <v>40000000</v>
      </c>
      <c r="S15" s="7"/>
      <c r="T15" s="7"/>
      <c r="U15" s="787" t="s">
        <v>948</v>
      </c>
      <c r="W15" s="93">
        <v>42861600</v>
      </c>
      <c r="X15" s="94" t="s">
        <v>556</v>
      </c>
    </row>
    <row r="16" spans="1:26" s="94" customFormat="1" ht="13.5" customHeight="1">
      <c r="A16" s="901"/>
      <c r="B16" s="901"/>
      <c r="C16" s="895" t="s">
        <v>527</v>
      </c>
      <c r="D16" s="333"/>
      <c r="E16" s="902">
        <v>0</v>
      </c>
      <c r="F16" s="902">
        <v>0</v>
      </c>
      <c r="G16" s="891">
        <f>F16+F19-E16-E19</f>
        <v>-71947</v>
      </c>
      <c r="H16" s="898">
        <f>G16/(E16+E19)</f>
        <v>-0.64268805774160986</v>
      </c>
      <c r="I16" s="358" t="s">
        <v>528</v>
      </c>
      <c r="J16" s="359"/>
      <c r="K16" s="360"/>
      <c r="L16" s="360"/>
      <c r="M16" s="360"/>
      <c r="N16" s="360"/>
      <c r="O16" s="360"/>
      <c r="P16" s="360"/>
      <c r="Q16" s="360"/>
      <c r="R16" s="786">
        <v>5000000</v>
      </c>
      <c r="S16" s="7"/>
      <c r="T16" s="7"/>
      <c r="U16" s="787" t="s">
        <v>662</v>
      </c>
      <c r="W16" s="93">
        <v>4490000</v>
      </c>
      <c r="X16" s="94" t="s">
        <v>684</v>
      </c>
      <c r="Z16" s="94" t="s">
        <v>661</v>
      </c>
    </row>
    <row r="17" spans="1:24" s="94" customFormat="1" ht="13.5" customHeight="1">
      <c r="A17" s="901"/>
      <c r="B17" s="901"/>
      <c r="C17" s="901"/>
      <c r="D17" s="543"/>
      <c r="E17" s="903"/>
      <c r="F17" s="903"/>
      <c r="G17" s="900"/>
      <c r="H17" s="899"/>
      <c r="I17" s="361" t="s">
        <v>529</v>
      </c>
      <c r="J17" s="362"/>
      <c r="K17" s="363"/>
      <c r="L17" s="363"/>
      <c r="M17" s="363"/>
      <c r="N17" s="363"/>
      <c r="O17" s="363"/>
      <c r="P17" s="363"/>
      <c r="Q17" s="363"/>
      <c r="R17" s="364">
        <f>20000000+5000000+10000000</f>
        <v>35000000</v>
      </c>
      <c r="S17" s="7"/>
      <c r="T17" s="7"/>
      <c r="U17" s="787" t="s">
        <v>1081</v>
      </c>
      <c r="W17" s="93">
        <v>2800000</v>
      </c>
    </row>
    <row r="18" spans="1:24" s="94" customFormat="1" ht="13.5" customHeight="1">
      <c r="A18" s="901"/>
      <c r="B18" s="901"/>
      <c r="C18" s="901"/>
      <c r="D18" s="334"/>
      <c r="E18" s="904"/>
      <c r="F18" s="904"/>
      <c r="G18" s="900"/>
      <c r="H18" s="900"/>
      <c r="I18" s="361"/>
      <c r="J18" s="362"/>
      <c r="K18" s="363"/>
      <c r="L18" s="363"/>
      <c r="M18" s="363"/>
      <c r="N18" s="363"/>
      <c r="O18" s="363"/>
      <c r="P18" s="363"/>
      <c r="Q18" s="363"/>
      <c r="R18" s="364"/>
      <c r="S18" s="7"/>
      <c r="T18" s="7"/>
      <c r="U18" s="787" t="s">
        <v>560</v>
      </c>
      <c r="V18" s="1"/>
      <c r="W18" s="93">
        <v>21531240</v>
      </c>
      <c r="X18" s="94" t="s">
        <v>557</v>
      </c>
    </row>
    <row r="19" spans="1:24" s="94" customFormat="1" ht="13.5" customHeight="1">
      <c r="A19" s="887"/>
      <c r="B19" s="887"/>
      <c r="C19" s="887"/>
      <c r="D19" s="332"/>
      <c r="E19" s="365">
        <v>111947</v>
      </c>
      <c r="F19" s="365">
        <f>R19/1000</f>
        <v>40000</v>
      </c>
      <c r="G19" s="892"/>
      <c r="H19" s="892"/>
      <c r="I19" s="16"/>
      <c r="J19" s="17"/>
      <c r="K19" s="18"/>
      <c r="L19" s="18"/>
      <c r="M19" s="18"/>
      <c r="N19" s="18"/>
      <c r="O19" s="18"/>
      <c r="P19" s="18"/>
      <c r="Q19" s="366" t="s">
        <v>514</v>
      </c>
      <c r="R19" s="367">
        <f>SUM(R16:R18)</f>
        <v>40000000</v>
      </c>
      <c r="S19" s="7"/>
      <c r="T19" s="7">
        <f>R19</f>
        <v>40000000</v>
      </c>
      <c r="U19" s="787" t="s">
        <v>681</v>
      </c>
      <c r="W19" s="93">
        <f>18000000+1550000</f>
        <v>19550000</v>
      </c>
      <c r="X19" s="94" t="s">
        <v>684</v>
      </c>
    </row>
    <row r="20" spans="1:24" s="94" customFormat="1" ht="13.5" customHeight="1">
      <c r="A20" s="895" t="s">
        <v>530</v>
      </c>
      <c r="B20" s="895" t="s">
        <v>530</v>
      </c>
      <c r="C20" s="895"/>
      <c r="D20" s="333"/>
      <c r="E20" s="349"/>
      <c r="F20" s="349"/>
      <c r="G20" s="891">
        <f>F20+F21-E20-E21</f>
        <v>-113474.23300000001</v>
      </c>
      <c r="H20" s="893">
        <f>G20/(E20+E21)</f>
        <v>-0.21407566793569105</v>
      </c>
      <c r="I20" s="106"/>
      <c r="J20" s="107"/>
      <c r="K20" s="28"/>
      <c r="L20" s="28"/>
      <c r="M20" s="28"/>
      <c r="N20" s="28"/>
      <c r="O20" s="28"/>
      <c r="P20" s="28"/>
      <c r="Q20" s="28"/>
      <c r="R20" s="108"/>
      <c r="S20" s="7"/>
      <c r="T20" s="7"/>
      <c r="U20" s="787" t="s">
        <v>558</v>
      </c>
      <c r="W20" s="93">
        <v>46336000</v>
      </c>
    </row>
    <row r="21" spans="1:24" s="94" customFormat="1" ht="10.5" customHeight="1">
      <c r="A21" s="887"/>
      <c r="B21" s="887"/>
      <c r="C21" s="887"/>
      <c r="D21" s="332"/>
      <c r="E21" s="349">
        <f>E23</f>
        <v>530066</v>
      </c>
      <c r="F21" s="349">
        <f>F23</f>
        <v>416591.76699999999</v>
      </c>
      <c r="G21" s="892"/>
      <c r="H21" s="894"/>
      <c r="I21" s="16"/>
      <c r="J21" s="17"/>
      <c r="K21" s="18"/>
      <c r="L21" s="18"/>
      <c r="M21" s="18"/>
      <c r="N21" s="18"/>
      <c r="O21" s="18"/>
      <c r="P21" s="18"/>
      <c r="Q21" s="18"/>
      <c r="R21" s="351">
        <f>SUM(R23)</f>
        <v>416591767</v>
      </c>
      <c r="S21" s="7"/>
      <c r="T21" s="7"/>
      <c r="U21" s="787" t="s">
        <v>531</v>
      </c>
      <c r="W21" s="93"/>
    </row>
    <row r="22" spans="1:24" s="94" customFormat="1" ht="10.5" customHeight="1">
      <c r="A22" s="895"/>
      <c r="B22" s="895"/>
      <c r="C22" s="895" t="s">
        <v>530</v>
      </c>
      <c r="D22" s="333"/>
      <c r="E22" s="349"/>
      <c r="F22" s="349"/>
      <c r="G22" s="891">
        <f>F22+F23-E22-E23</f>
        <v>-113474.23300000001</v>
      </c>
      <c r="H22" s="893">
        <f>G22/(E22+E23)</f>
        <v>-0.21407566793569105</v>
      </c>
      <c r="I22" s="106" t="s">
        <v>532</v>
      </c>
      <c r="J22" s="107"/>
      <c r="K22" s="28"/>
      <c r="L22" s="28"/>
      <c r="M22" s="28"/>
      <c r="N22" s="28"/>
      <c r="O22" s="28"/>
      <c r="P22" s="28"/>
      <c r="Q22" s="28"/>
      <c r="R22" s="154">
        <v>416591767</v>
      </c>
      <c r="S22" s="7"/>
      <c r="T22" s="7"/>
      <c r="U22" s="787" t="s">
        <v>562</v>
      </c>
      <c r="W22" s="93">
        <v>21024000</v>
      </c>
      <c r="X22" s="94" t="s">
        <v>557</v>
      </c>
    </row>
    <row r="23" spans="1:24" s="94" customFormat="1" ht="11.25" customHeight="1">
      <c r="A23" s="887"/>
      <c r="B23" s="887"/>
      <c r="C23" s="887"/>
      <c r="D23" s="332"/>
      <c r="E23" s="349">
        <v>530066</v>
      </c>
      <c r="F23" s="349">
        <f>R23/1000</f>
        <v>416591.76699999999</v>
      </c>
      <c r="G23" s="892"/>
      <c r="H23" s="894"/>
      <c r="I23" s="16"/>
      <c r="J23" s="17"/>
      <c r="K23" s="18"/>
      <c r="L23" s="18"/>
      <c r="M23" s="18"/>
      <c r="N23" s="18"/>
      <c r="O23" s="18"/>
      <c r="P23" s="18"/>
      <c r="Q23" s="369" t="s">
        <v>514</v>
      </c>
      <c r="R23" s="82">
        <f>SUM(R22)</f>
        <v>416591767</v>
      </c>
      <c r="S23" s="7"/>
      <c r="T23" s="7">
        <f>R22-S23</f>
        <v>416591767</v>
      </c>
      <c r="U23" s="368" t="s">
        <v>1074</v>
      </c>
      <c r="W23" s="93">
        <v>3056630</v>
      </c>
    </row>
    <row r="24" spans="1:24" s="94" customFormat="1" ht="11.25" customHeight="1">
      <c r="A24" s="895" t="s">
        <v>533</v>
      </c>
      <c r="B24" s="895" t="s">
        <v>533</v>
      </c>
      <c r="C24" s="895"/>
      <c r="D24" s="334"/>
      <c r="E24" s="349"/>
      <c r="F24" s="349"/>
      <c r="G24" s="354"/>
      <c r="H24" s="355"/>
      <c r="I24" s="35"/>
      <c r="J24" s="21"/>
      <c r="K24" s="20"/>
      <c r="L24" s="20"/>
      <c r="M24" s="20"/>
      <c r="N24" s="20"/>
      <c r="O24" s="20"/>
      <c r="P24" s="20"/>
      <c r="Q24" s="20"/>
      <c r="R24" s="370"/>
      <c r="S24" s="7"/>
      <c r="T24" s="7"/>
      <c r="U24" s="368" t="s">
        <v>880</v>
      </c>
      <c r="W24" s="93">
        <v>313000000</v>
      </c>
    </row>
    <row r="25" spans="1:24" s="94" customFormat="1" ht="11.25" customHeight="1">
      <c r="A25" s="901"/>
      <c r="B25" s="901"/>
      <c r="C25" s="901"/>
      <c r="D25" s="334"/>
      <c r="E25" s="906">
        <f>E28</f>
        <v>3205261</v>
      </c>
      <c r="F25" s="906">
        <f>F28</f>
        <v>144917</v>
      </c>
      <c r="G25" s="354"/>
      <c r="H25" s="355"/>
      <c r="I25" s="35"/>
      <c r="J25" s="21"/>
      <c r="K25" s="20"/>
      <c r="L25" s="20"/>
      <c r="M25" s="20"/>
      <c r="N25" s="20"/>
      <c r="O25" s="20"/>
      <c r="P25" s="20"/>
      <c r="Q25" s="20"/>
      <c r="R25" s="370"/>
      <c r="S25" s="7"/>
      <c r="T25" s="7"/>
      <c r="U25" s="368" t="s">
        <v>1079</v>
      </c>
      <c r="W25" s="93">
        <v>2306630</v>
      </c>
    </row>
    <row r="26" spans="1:24" s="94" customFormat="1" ht="11.25" customHeight="1">
      <c r="A26" s="901"/>
      <c r="B26" s="901"/>
      <c r="C26" s="887"/>
      <c r="D26" s="334"/>
      <c r="E26" s="907"/>
      <c r="F26" s="907"/>
      <c r="G26" s="354"/>
      <c r="H26" s="355"/>
      <c r="I26" s="35"/>
      <c r="J26" s="21"/>
      <c r="K26" s="20"/>
      <c r="L26" s="20"/>
      <c r="M26" s="20"/>
      <c r="N26" s="20"/>
      <c r="O26" s="20"/>
      <c r="P26" s="20"/>
      <c r="Q26" s="20"/>
      <c r="R26" s="370">
        <f>SUM(R51)</f>
        <v>144917000</v>
      </c>
      <c r="S26" s="7"/>
      <c r="T26" s="7"/>
      <c r="U26" s="368" t="s">
        <v>561</v>
      </c>
      <c r="W26" s="93">
        <v>0</v>
      </c>
    </row>
    <row r="27" spans="1:24" s="94" customFormat="1" ht="13.5" customHeight="1">
      <c r="A27" s="901"/>
      <c r="B27" s="901"/>
      <c r="C27" s="895" t="s">
        <v>533</v>
      </c>
      <c r="D27" s="333"/>
      <c r="E27" s="371">
        <v>0</v>
      </c>
      <c r="F27" s="371">
        <v>0</v>
      </c>
      <c r="G27" s="908">
        <f>F27+F28-E27-E28</f>
        <v>-3060344</v>
      </c>
      <c r="H27" s="910">
        <f>G27/(E27+E28)</f>
        <v>-0.95478776923314512</v>
      </c>
      <c r="I27" s="106"/>
      <c r="J27" s="28"/>
      <c r="K27" s="372"/>
      <c r="L27" s="372"/>
      <c r="M27" s="372"/>
      <c r="N27" s="372"/>
      <c r="O27" s="372"/>
      <c r="P27" s="372"/>
      <c r="Q27" s="372"/>
      <c r="R27" s="373"/>
      <c r="S27" s="7"/>
      <c r="T27" s="7"/>
      <c r="U27" s="356"/>
      <c r="W27" s="93">
        <f>SUM(W11:W26)</f>
        <v>685424036</v>
      </c>
    </row>
    <row r="28" spans="1:24" s="94" customFormat="1" ht="13.5" customHeight="1">
      <c r="A28" s="901"/>
      <c r="B28" s="901"/>
      <c r="C28" s="901"/>
      <c r="D28" s="334"/>
      <c r="E28" s="44">
        <v>3205261</v>
      </c>
      <c r="F28" s="44">
        <f>R51/1000</f>
        <v>144917</v>
      </c>
      <c r="G28" s="909"/>
      <c r="H28" s="911"/>
      <c r="I28" s="361"/>
      <c r="J28" s="20"/>
      <c r="K28" s="366"/>
      <c r="L28" s="366"/>
      <c r="M28" s="366"/>
      <c r="N28" s="366"/>
      <c r="O28" s="366"/>
      <c r="P28" s="366"/>
      <c r="Q28" s="366"/>
      <c r="R28" s="374"/>
      <c r="S28" s="7"/>
      <c r="T28" s="7"/>
      <c r="U28" s="356"/>
      <c r="W28" s="93"/>
    </row>
    <row r="29" spans="1:24" s="94" customFormat="1" ht="13.5" customHeight="1">
      <c r="A29" s="901"/>
      <c r="B29" s="901"/>
      <c r="C29" s="901"/>
      <c r="D29" s="334"/>
      <c r="E29" s="44"/>
      <c r="F29" s="44"/>
      <c r="G29" s="336"/>
      <c r="H29" s="335"/>
      <c r="I29" s="361" t="s">
        <v>534</v>
      </c>
      <c r="J29" s="20"/>
      <c r="K29" s="366"/>
      <c r="L29" s="366"/>
      <c r="M29" s="366"/>
      <c r="N29" s="366"/>
      <c r="O29" s="366"/>
      <c r="P29" s="366"/>
      <c r="Q29" s="366"/>
      <c r="R29" s="374">
        <v>1200000</v>
      </c>
      <c r="S29" s="7"/>
      <c r="T29" s="7"/>
      <c r="U29" s="356"/>
      <c r="W29" s="93"/>
    </row>
    <row r="30" spans="1:24" s="94" customFormat="1" ht="13.5" customHeight="1">
      <c r="A30" s="23"/>
      <c r="B30" s="23"/>
      <c r="C30" s="23"/>
      <c r="D30" s="334"/>
      <c r="E30" s="44"/>
      <c r="F30" s="44"/>
      <c r="G30" s="375"/>
      <c r="H30" s="376"/>
      <c r="I30" s="361" t="s">
        <v>535</v>
      </c>
      <c r="J30" s="21">
        <v>20000</v>
      </c>
      <c r="K30" s="366" t="s">
        <v>536</v>
      </c>
      <c r="L30" s="366">
        <v>15</v>
      </c>
      <c r="M30" s="366" t="s">
        <v>537</v>
      </c>
      <c r="N30" s="366" t="s">
        <v>536</v>
      </c>
      <c r="O30" s="366">
        <v>0</v>
      </c>
      <c r="P30" s="366" t="s">
        <v>538</v>
      </c>
      <c r="Q30" s="366" t="s">
        <v>539</v>
      </c>
      <c r="R30" s="374">
        <f>J30*L30*O30</f>
        <v>0</v>
      </c>
      <c r="S30" s="7"/>
      <c r="T30" s="7"/>
    </row>
    <row r="31" spans="1:24" s="94" customFormat="1" ht="13.5" customHeight="1">
      <c r="A31" s="23"/>
      <c r="B31" s="23"/>
      <c r="C31" s="23"/>
      <c r="D31" s="334"/>
      <c r="E31" s="44"/>
      <c r="F31" s="44"/>
      <c r="G31" s="375"/>
      <c r="H31" s="376"/>
      <c r="I31" s="361" t="s">
        <v>739</v>
      </c>
      <c r="J31" s="21"/>
      <c r="K31" s="366"/>
      <c r="L31" s="366"/>
      <c r="M31" s="366"/>
      <c r="N31" s="366"/>
      <c r="O31" s="366"/>
      <c r="P31" s="366"/>
      <c r="Q31" s="366" t="s">
        <v>539</v>
      </c>
      <c r="R31" s="374">
        <v>720000</v>
      </c>
      <c r="S31" s="7"/>
      <c r="T31" s="7"/>
    </row>
    <row r="32" spans="1:24" s="94" customFormat="1" ht="13.5" customHeight="1">
      <c r="A32" s="23"/>
      <c r="B32" s="23"/>
      <c r="C32" s="23"/>
      <c r="D32" s="334"/>
      <c r="E32" s="44"/>
      <c r="F32" s="44"/>
      <c r="G32" s="375"/>
      <c r="H32" s="376"/>
      <c r="I32" s="361" t="s">
        <v>1117</v>
      </c>
      <c r="J32" s="21">
        <v>20000</v>
      </c>
      <c r="K32" s="366" t="s">
        <v>536</v>
      </c>
      <c r="L32" s="366">
        <v>3</v>
      </c>
      <c r="M32" s="366" t="s">
        <v>537</v>
      </c>
      <c r="N32" s="366" t="s">
        <v>536</v>
      </c>
      <c r="O32" s="366">
        <v>0</v>
      </c>
      <c r="P32" s="366" t="s">
        <v>538</v>
      </c>
      <c r="Q32" s="366" t="s">
        <v>539</v>
      </c>
      <c r="R32" s="374">
        <f>J32*L32*O32</f>
        <v>0</v>
      </c>
      <c r="S32" s="7"/>
      <c r="T32" s="7"/>
    </row>
    <row r="33" spans="1:24" s="94" customFormat="1" ht="13.5" customHeight="1">
      <c r="A33" s="23"/>
      <c r="B33" s="23"/>
      <c r="C33" s="23"/>
      <c r="D33" s="334"/>
      <c r="E33" s="44"/>
      <c r="F33" s="44"/>
      <c r="G33" s="375"/>
      <c r="H33" s="376"/>
      <c r="I33" s="361" t="s">
        <v>865</v>
      </c>
      <c r="J33" s="21">
        <v>10000</v>
      </c>
      <c r="K33" s="366" t="s">
        <v>536</v>
      </c>
      <c r="L33" s="366">
        <v>5</v>
      </c>
      <c r="M33" s="366" t="s">
        <v>537</v>
      </c>
      <c r="N33" s="366" t="s">
        <v>536</v>
      </c>
      <c r="O33" s="366">
        <v>7</v>
      </c>
      <c r="P33" s="366" t="s">
        <v>538</v>
      </c>
      <c r="Q33" s="366" t="s">
        <v>539</v>
      </c>
      <c r="R33" s="374">
        <f>J33*L33*O33</f>
        <v>350000</v>
      </c>
      <c r="S33" s="7"/>
      <c r="T33" s="7"/>
    </row>
    <row r="34" spans="1:24" s="94" customFormat="1" ht="13.5" customHeight="1">
      <c r="A34" s="23"/>
      <c r="B34" s="23"/>
      <c r="C34" s="23"/>
      <c r="D34" s="334"/>
      <c r="E34" s="44"/>
      <c r="F34" s="44"/>
      <c r="G34" s="375"/>
      <c r="H34" s="376"/>
      <c r="I34" s="361" t="s">
        <v>753</v>
      </c>
      <c r="J34" s="21">
        <v>10000</v>
      </c>
      <c r="K34" s="366" t="s">
        <v>536</v>
      </c>
      <c r="L34" s="366">
        <v>200</v>
      </c>
      <c r="M34" s="366" t="s">
        <v>537</v>
      </c>
      <c r="N34" s="366" t="s">
        <v>536</v>
      </c>
      <c r="O34" s="366">
        <v>0</v>
      </c>
      <c r="P34" s="366" t="s">
        <v>538</v>
      </c>
      <c r="Q34" s="366" t="s">
        <v>539</v>
      </c>
      <c r="R34" s="374">
        <f>J34*L34*O34</f>
        <v>0</v>
      </c>
      <c r="S34" s="7"/>
      <c r="T34" s="7"/>
    </row>
    <row r="35" spans="1:24" s="94" customFormat="1" ht="13.5" customHeight="1">
      <c r="A35" s="23"/>
      <c r="B35" s="23"/>
      <c r="C35" s="23"/>
      <c r="D35" s="334"/>
      <c r="E35" s="44"/>
      <c r="F35" s="44"/>
      <c r="G35" s="375"/>
      <c r="H35" s="376"/>
      <c r="I35" s="361" t="s">
        <v>765</v>
      </c>
      <c r="J35" s="21">
        <v>20000</v>
      </c>
      <c r="K35" s="366" t="s">
        <v>536</v>
      </c>
      <c r="L35" s="366">
        <v>15</v>
      </c>
      <c r="M35" s="366" t="s">
        <v>537</v>
      </c>
      <c r="N35" s="366" t="s">
        <v>536</v>
      </c>
      <c r="O35" s="366">
        <v>0</v>
      </c>
      <c r="P35" s="366" t="s">
        <v>538</v>
      </c>
      <c r="Q35" s="366" t="s">
        <v>539</v>
      </c>
      <c r="R35" s="374">
        <f t="shared" ref="R35:R40" si="0">J35*L35*O35</f>
        <v>0</v>
      </c>
      <c r="S35" s="7"/>
      <c r="T35" s="7"/>
    </row>
    <row r="36" spans="1:24" s="94" customFormat="1" ht="13.5" customHeight="1">
      <c r="A36" s="23"/>
      <c r="B36" s="23"/>
      <c r="C36" s="23"/>
      <c r="D36" s="334"/>
      <c r="E36" s="44"/>
      <c r="F36" s="44"/>
      <c r="G36" s="375"/>
      <c r="H36" s="376"/>
      <c r="I36" s="742" t="s">
        <v>755</v>
      </c>
      <c r="J36" s="21">
        <v>10000</v>
      </c>
      <c r="K36" s="366" t="s">
        <v>536</v>
      </c>
      <c r="L36" s="366">
        <v>8</v>
      </c>
      <c r="M36" s="366" t="s">
        <v>537</v>
      </c>
      <c r="N36" s="366" t="s">
        <v>536</v>
      </c>
      <c r="O36" s="366">
        <v>7</v>
      </c>
      <c r="P36" s="366" t="s">
        <v>538</v>
      </c>
      <c r="Q36" s="366" t="s">
        <v>539</v>
      </c>
      <c r="R36" s="374">
        <f t="shared" si="0"/>
        <v>560000</v>
      </c>
      <c r="S36" s="7"/>
      <c r="T36" s="7"/>
    </row>
    <row r="37" spans="1:24" s="94" customFormat="1" ht="14.25" customHeight="1">
      <c r="A37" s="23"/>
      <c r="B37" s="23"/>
      <c r="C37" s="23"/>
      <c r="D37" s="334"/>
      <c r="E37" s="44"/>
      <c r="F37" s="44"/>
      <c r="G37" s="375"/>
      <c r="H37" s="376"/>
      <c r="I37" s="742" t="s">
        <v>754</v>
      </c>
      <c r="J37" s="21">
        <v>10000</v>
      </c>
      <c r="K37" s="366" t="s">
        <v>536</v>
      </c>
      <c r="L37" s="366">
        <v>15</v>
      </c>
      <c r="M37" s="366" t="s">
        <v>537</v>
      </c>
      <c r="N37" s="366" t="s">
        <v>536</v>
      </c>
      <c r="O37" s="366">
        <v>4</v>
      </c>
      <c r="P37" s="366" t="s">
        <v>538</v>
      </c>
      <c r="Q37" s="366" t="s">
        <v>539</v>
      </c>
      <c r="R37" s="374">
        <f t="shared" si="0"/>
        <v>600000</v>
      </c>
      <c r="S37" s="7"/>
      <c r="T37" s="7"/>
    </row>
    <row r="38" spans="1:24" s="94" customFormat="1" ht="13.5" customHeight="1">
      <c r="A38" s="23"/>
      <c r="B38" s="23"/>
      <c r="C38" s="23"/>
      <c r="D38" s="334"/>
      <c r="E38" s="44"/>
      <c r="F38" s="44"/>
      <c r="G38" s="375"/>
      <c r="H38" s="376"/>
      <c r="I38" s="742" t="s">
        <v>864</v>
      </c>
      <c r="J38" s="21">
        <v>30000</v>
      </c>
      <c r="K38" s="366" t="s">
        <v>536</v>
      </c>
      <c r="L38" s="366">
        <v>10</v>
      </c>
      <c r="M38" s="366" t="s">
        <v>537</v>
      </c>
      <c r="N38" s="366" t="s">
        <v>536</v>
      </c>
      <c r="O38" s="366">
        <v>1</v>
      </c>
      <c r="P38" s="366" t="s">
        <v>538</v>
      </c>
      <c r="Q38" s="366" t="s">
        <v>539</v>
      </c>
      <c r="R38" s="374">
        <f t="shared" si="0"/>
        <v>300000</v>
      </c>
      <c r="S38" s="7"/>
      <c r="T38" s="7"/>
    </row>
    <row r="39" spans="1:24" s="94" customFormat="1" ht="13.5" customHeight="1">
      <c r="A39" s="23"/>
      <c r="B39" s="23"/>
      <c r="C39" s="23"/>
      <c r="D39" s="334"/>
      <c r="E39" s="44"/>
      <c r="F39" s="44"/>
      <c r="G39" s="375"/>
      <c r="H39" s="376"/>
      <c r="I39" s="742" t="s">
        <v>721</v>
      </c>
      <c r="J39" s="21">
        <v>10000</v>
      </c>
      <c r="K39" s="366" t="s">
        <v>536</v>
      </c>
      <c r="L39" s="366">
        <v>40</v>
      </c>
      <c r="M39" s="366" t="s">
        <v>537</v>
      </c>
      <c r="N39" s="366" t="s">
        <v>536</v>
      </c>
      <c r="O39" s="366">
        <v>0</v>
      </c>
      <c r="P39" s="366" t="s">
        <v>538</v>
      </c>
      <c r="Q39" s="366" t="s">
        <v>539</v>
      </c>
      <c r="R39" s="374">
        <f t="shared" si="0"/>
        <v>0</v>
      </c>
      <c r="S39" s="7"/>
      <c r="T39" s="7"/>
      <c r="X39" s="93"/>
    </row>
    <row r="40" spans="1:24" s="94" customFormat="1" ht="13.5" customHeight="1">
      <c r="A40" s="23"/>
      <c r="B40" s="23"/>
      <c r="C40" s="23"/>
      <c r="D40" s="334"/>
      <c r="E40" s="44"/>
      <c r="F40" s="44"/>
      <c r="G40" s="375"/>
      <c r="H40" s="376"/>
      <c r="I40" s="742" t="s">
        <v>756</v>
      </c>
      <c r="J40" s="21">
        <v>5000</v>
      </c>
      <c r="K40" s="366" t="s">
        <v>536</v>
      </c>
      <c r="L40" s="366">
        <v>16</v>
      </c>
      <c r="M40" s="366" t="s">
        <v>537</v>
      </c>
      <c r="N40" s="366" t="s">
        <v>536</v>
      </c>
      <c r="O40" s="366">
        <v>7</v>
      </c>
      <c r="P40" s="366" t="s">
        <v>538</v>
      </c>
      <c r="Q40" s="366" t="s">
        <v>539</v>
      </c>
      <c r="R40" s="374">
        <f t="shared" si="0"/>
        <v>560000</v>
      </c>
      <c r="S40" s="7"/>
      <c r="T40" s="7"/>
      <c r="X40" s="93"/>
    </row>
    <row r="41" spans="1:24" s="94" customFormat="1" ht="13.5" customHeight="1">
      <c r="A41" s="23"/>
      <c r="B41" s="23"/>
      <c r="C41" s="23"/>
      <c r="D41" s="334"/>
      <c r="E41" s="44"/>
      <c r="F41" s="44"/>
      <c r="G41" s="375"/>
      <c r="H41" s="376"/>
      <c r="I41" s="742" t="s">
        <v>540</v>
      </c>
      <c r="J41" s="21">
        <v>20000</v>
      </c>
      <c r="K41" s="366" t="s">
        <v>536</v>
      </c>
      <c r="L41" s="366">
        <v>40</v>
      </c>
      <c r="M41" s="366" t="s">
        <v>537</v>
      </c>
      <c r="N41" s="366" t="s">
        <v>536</v>
      </c>
      <c r="O41" s="366">
        <v>0</v>
      </c>
      <c r="P41" s="366" t="s">
        <v>538</v>
      </c>
      <c r="Q41" s="366" t="s">
        <v>539</v>
      </c>
      <c r="R41" s="374">
        <f>J41*L41*O41</f>
        <v>0</v>
      </c>
      <c r="S41" s="7"/>
      <c r="T41" s="7"/>
      <c r="X41" s="93"/>
    </row>
    <row r="42" spans="1:24" s="94" customFormat="1" ht="13.5" customHeight="1">
      <c r="A42" s="23"/>
      <c r="B42" s="23"/>
      <c r="C42" s="23"/>
      <c r="D42" s="640"/>
      <c r="E42" s="44"/>
      <c r="F42" s="44"/>
      <c r="G42" s="375"/>
      <c r="H42" s="376"/>
      <c r="I42" s="742" t="s">
        <v>872</v>
      </c>
      <c r="J42" s="21">
        <v>10000</v>
      </c>
      <c r="K42" s="366" t="s">
        <v>381</v>
      </c>
      <c r="L42" s="366">
        <v>15</v>
      </c>
      <c r="M42" s="366" t="s">
        <v>537</v>
      </c>
      <c r="N42" s="366" t="s">
        <v>381</v>
      </c>
      <c r="O42" s="366">
        <v>1</v>
      </c>
      <c r="P42" s="366" t="s">
        <v>25</v>
      </c>
      <c r="Q42" s="366" t="s">
        <v>43</v>
      </c>
      <c r="R42" s="374">
        <f>J42*L42</f>
        <v>150000</v>
      </c>
      <c r="S42" s="7"/>
      <c r="T42" s="7"/>
      <c r="X42" s="93"/>
    </row>
    <row r="43" spans="1:24" s="94" customFormat="1" ht="13.5" customHeight="1">
      <c r="A43" s="23"/>
      <c r="B43" s="23"/>
      <c r="C43" s="23"/>
      <c r="D43" s="334"/>
      <c r="E43" s="44"/>
      <c r="F43" s="44"/>
      <c r="G43" s="375"/>
      <c r="H43" s="376"/>
      <c r="I43" s="361" t="s">
        <v>541</v>
      </c>
      <c r="J43" s="905"/>
      <c r="K43" s="905"/>
      <c r="L43" s="905"/>
      <c r="M43" s="905"/>
      <c r="N43" s="905"/>
      <c r="O43" s="905"/>
      <c r="P43" s="905"/>
      <c r="Q43" s="905"/>
      <c r="R43" s="374"/>
      <c r="S43" s="7"/>
      <c r="T43" s="7"/>
      <c r="X43" s="93"/>
    </row>
    <row r="44" spans="1:24" s="94" customFormat="1" ht="13.5" customHeight="1">
      <c r="A44" s="23"/>
      <c r="B44" s="23"/>
      <c r="C44" s="23"/>
      <c r="D44" s="334"/>
      <c r="E44" s="44"/>
      <c r="F44" s="44"/>
      <c r="G44" s="375"/>
      <c r="H44" s="376"/>
      <c r="I44" s="361" t="s">
        <v>542</v>
      </c>
      <c r="J44" s="20"/>
      <c r="K44" s="366"/>
      <c r="L44" s="366"/>
      <c r="M44" s="366"/>
      <c r="N44" s="366"/>
      <c r="O44" s="366"/>
      <c r="P44" s="366"/>
      <c r="Q44" s="366"/>
      <c r="R44" s="374">
        <v>768000</v>
      </c>
      <c r="S44" s="7"/>
      <c r="T44" s="7"/>
      <c r="X44" s="93"/>
    </row>
    <row r="45" spans="1:24" s="94" customFormat="1" ht="13.5" customHeight="1">
      <c r="A45" s="23"/>
      <c r="B45" s="23"/>
      <c r="C45" s="23"/>
      <c r="D45" s="334"/>
      <c r="E45" s="44"/>
      <c r="F45" s="44"/>
      <c r="G45" s="375"/>
      <c r="H45" s="376"/>
      <c r="I45" s="742" t="s">
        <v>970</v>
      </c>
      <c r="J45" s="20"/>
      <c r="K45" s="366"/>
      <c r="L45" s="366"/>
      <c r="M45" s="366"/>
      <c r="N45" s="366"/>
      <c r="O45" s="366"/>
      <c r="P45" s="366"/>
      <c r="Q45" s="366"/>
      <c r="R45" s="374">
        <f>7100000</f>
        <v>7100000</v>
      </c>
      <c r="S45" s="7"/>
      <c r="T45" s="7"/>
      <c r="X45" s="93"/>
    </row>
    <row r="46" spans="1:24" s="94" customFormat="1" ht="13.5" customHeight="1">
      <c r="A46" s="23"/>
      <c r="B46" s="23"/>
      <c r="C46" s="23"/>
      <c r="D46" s="334"/>
      <c r="E46" s="44"/>
      <c r="F46" s="44"/>
      <c r="G46" s="375"/>
      <c r="H46" s="376"/>
      <c r="I46" s="361" t="s">
        <v>543</v>
      </c>
      <c r="J46" s="21">
        <v>80000</v>
      </c>
      <c r="K46" s="366" t="s">
        <v>536</v>
      </c>
      <c r="L46" s="366">
        <v>8</v>
      </c>
      <c r="M46" s="366" t="s">
        <v>537</v>
      </c>
      <c r="N46" s="366"/>
      <c r="O46" s="366"/>
      <c r="P46" s="366"/>
      <c r="Q46" s="366" t="s">
        <v>539</v>
      </c>
      <c r="R46" s="374">
        <f>J46*L46</f>
        <v>640000</v>
      </c>
      <c r="S46" s="7"/>
      <c r="T46" s="7"/>
    </row>
    <row r="47" spans="1:24" s="94" customFormat="1" ht="13.5" customHeight="1">
      <c r="A47" s="23"/>
      <c r="B47" s="23"/>
      <c r="C47" s="23"/>
      <c r="D47" s="640"/>
      <c r="E47" s="44"/>
      <c r="F47" s="44"/>
      <c r="G47" s="375"/>
      <c r="H47" s="376"/>
      <c r="I47" s="361" t="s">
        <v>544</v>
      </c>
      <c r="J47" s="20"/>
      <c r="K47" s="20"/>
      <c r="L47" s="20"/>
      <c r="M47" s="20"/>
      <c r="N47" s="20"/>
      <c r="O47" s="20"/>
      <c r="P47" s="20"/>
      <c r="Q47" s="20"/>
      <c r="R47" s="374">
        <v>6000000</v>
      </c>
      <c r="S47" s="7"/>
      <c r="T47" s="7"/>
    </row>
    <row r="48" spans="1:24" s="94" customFormat="1" ht="13.5" customHeight="1">
      <c r="A48" s="23"/>
      <c r="B48" s="23"/>
      <c r="C48" s="23"/>
      <c r="D48" s="640"/>
      <c r="E48" s="44"/>
      <c r="F48" s="44"/>
      <c r="G48" s="375"/>
      <c r="H48" s="376"/>
      <c r="I48" s="361" t="s">
        <v>545</v>
      </c>
      <c r="J48" s="20"/>
      <c r="K48" s="20"/>
      <c r="L48" s="20"/>
      <c r="M48" s="20"/>
      <c r="N48" s="20"/>
      <c r="O48" s="20"/>
      <c r="P48" s="20"/>
      <c r="Q48" s="20"/>
      <c r="R48" s="374">
        <v>92369000</v>
      </c>
      <c r="S48" s="7"/>
      <c r="T48" s="7"/>
    </row>
    <row r="49" spans="1:20" s="94" customFormat="1" ht="13.5" customHeight="1">
      <c r="A49" s="23"/>
      <c r="B49" s="23"/>
      <c r="C49" s="23"/>
      <c r="D49" s="334"/>
      <c r="E49" s="44"/>
      <c r="F49" s="44"/>
      <c r="G49" s="375"/>
      <c r="H49" s="376"/>
      <c r="I49" s="361" t="s">
        <v>546</v>
      </c>
      <c r="J49" s="21">
        <v>2800000</v>
      </c>
      <c r="K49" s="366" t="s">
        <v>536</v>
      </c>
      <c r="L49" s="366">
        <v>12</v>
      </c>
      <c r="M49" s="366" t="s">
        <v>547</v>
      </c>
      <c r="N49" s="366"/>
      <c r="O49" s="366"/>
      <c r="P49" s="366"/>
      <c r="Q49" s="366" t="s">
        <v>539</v>
      </c>
      <c r="R49" s="743">
        <f>J49*L49</f>
        <v>33600000</v>
      </c>
      <c r="S49" s="7"/>
      <c r="T49" s="7"/>
    </row>
    <row r="50" spans="1:20" s="94" customFormat="1" ht="13.5" customHeight="1">
      <c r="A50" s="23"/>
      <c r="B50" s="23"/>
      <c r="C50" s="23"/>
      <c r="D50" s="334"/>
      <c r="E50" s="44"/>
      <c r="F50" s="44"/>
      <c r="G50" s="375"/>
      <c r="H50" s="376"/>
      <c r="I50" s="35"/>
      <c r="J50" s="21"/>
      <c r="K50" s="366"/>
      <c r="L50" s="366"/>
      <c r="M50" s="366"/>
      <c r="N50" s="366"/>
      <c r="O50" s="366"/>
      <c r="P50" s="366"/>
      <c r="Q50" s="366"/>
      <c r="R50" s="379"/>
      <c r="S50" s="7"/>
      <c r="T50" s="7"/>
    </row>
    <row r="51" spans="1:20" s="94" customFormat="1" ht="13.5" customHeight="1">
      <c r="A51" s="73"/>
      <c r="B51" s="73"/>
      <c r="C51" s="73"/>
      <c r="D51" s="334"/>
      <c r="E51" s="50"/>
      <c r="F51" s="50"/>
      <c r="G51" s="377"/>
      <c r="H51" s="378"/>
      <c r="I51" s="16"/>
      <c r="J51" s="18"/>
      <c r="K51" s="369"/>
      <c r="L51" s="369"/>
      <c r="M51" s="369"/>
      <c r="N51" s="369"/>
      <c r="O51" s="369"/>
      <c r="P51" s="369"/>
      <c r="Q51" s="369" t="s">
        <v>514</v>
      </c>
      <c r="R51" s="82">
        <f>SUM(R27:R49)</f>
        <v>144917000</v>
      </c>
      <c r="S51" s="7"/>
      <c r="T51" s="7">
        <f>R51</f>
        <v>144917000</v>
      </c>
    </row>
    <row r="52" spans="1:20" s="94" customFormat="1" ht="13.5" customHeight="1">
      <c r="A52" s="895" t="s">
        <v>548</v>
      </c>
      <c r="B52" s="895" t="s">
        <v>548</v>
      </c>
      <c r="C52" s="895"/>
      <c r="D52" s="333"/>
      <c r="E52" s="380">
        <v>0</v>
      </c>
      <c r="F52" s="380">
        <v>0</v>
      </c>
      <c r="G52" s="891">
        <f>F52+F53-E52-E53</f>
        <v>-1540</v>
      </c>
      <c r="H52" s="893">
        <f>G52/(E52+E53)</f>
        <v>-0.33920704845814981</v>
      </c>
      <c r="I52" s="106"/>
      <c r="J52" s="28"/>
      <c r="K52" s="381"/>
      <c r="L52" s="382"/>
      <c r="M52" s="382"/>
      <c r="N52" s="382"/>
      <c r="O52" s="382"/>
      <c r="P52" s="382"/>
      <c r="Q52" s="382"/>
      <c r="R52" s="154"/>
      <c r="S52" s="7"/>
      <c r="T52" s="7"/>
    </row>
    <row r="53" spans="1:20" s="94" customFormat="1" ht="13.5" customHeight="1">
      <c r="A53" s="901"/>
      <c r="B53" s="901"/>
      <c r="C53" s="901"/>
      <c r="D53" s="334"/>
      <c r="E53" s="906">
        <f>E56</f>
        <v>4540</v>
      </c>
      <c r="F53" s="906">
        <f>F56</f>
        <v>3000</v>
      </c>
      <c r="G53" s="900"/>
      <c r="H53" s="912"/>
      <c r="I53" s="35"/>
      <c r="J53" s="20"/>
      <c r="K53" s="383"/>
      <c r="L53" s="241"/>
      <c r="M53" s="241"/>
      <c r="N53" s="241"/>
      <c r="O53" s="241"/>
      <c r="P53" s="241"/>
      <c r="Q53" s="241"/>
      <c r="R53" s="64"/>
      <c r="S53" s="7"/>
      <c r="T53" s="7"/>
    </row>
    <row r="54" spans="1:20" s="94" customFormat="1" ht="13.5" customHeight="1">
      <c r="A54" s="887"/>
      <c r="B54" s="887"/>
      <c r="C54" s="887"/>
      <c r="D54" s="332"/>
      <c r="E54" s="907"/>
      <c r="F54" s="907"/>
      <c r="G54" s="892"/>
      <c r="H54" s="894"/>
      <c r="I54" s="16"/>
      <c r="J54" s="18"/>
      <c r="K54" s="384"/>
      <c r="L54" s="384"/>
      <c r="M54" s="384"/>
      <c r="N54" s="384"/>
      <c r="O54" s="384"/>
      <c r="P54" s="384"/>
      <c r="Q54" s="384"/>
      <c r="R54" s="385">
        <f>SUM(R57)</f>
        <v>3000000</v>
      </c>
      <c r="S54" s="7"/>
      <c r="T54" s="7">
        <f>R52+R54</f>
        <v>3000000</v>
      </c>
    </row>
    <row r="55" spans="1:20" s="94" customFormat="1" ht="13.5" customHeight="1">
      <c r="A55" s="895"/>
      <c r="B55" s="895"/>
      <c r="C55" s="895" t="s">
        <v>548</v>
      </c>
      <c r="D55" s="333"/>
      <c r="E55" s="380">
        <v>0</v>
      </c>
      <c r="F55" s="380">
        <v>0</v>
      </c>
      <c r="G55" s="891">
        <f>F55+F56-E55-E56</f>
        <v>-1540</v>
      </c>
      <c r="H55" s="893">
        <f>G55/(E55+E56)</f>
        <v>-0.33920704845814981</v>
      </c>
      <c r="I55" s="106" t="s">
        <v>549</v>
      </c>
      <c r="J55" s="28"/>
      <c r="K55" s="381"/>
      <c r="L55" s="382"/>
      <c r="M55" s="382"/>
      <c r="N55" s="382"/>
      <c r="O55" s="382"/>
      <c r="P55" s="382"/>
      <c r="Q55" s="382"/>
      <c r="R55" s="154">
        <f>500000</f>
        <v>500000</v>
      </c>
      <c r="S55" s="7"/>
      <c r="T55" s="7"/>
    </row>
    <row r="56" spans="1:20" s="94" customFormat="1" ht="13.5" customHeight="1">
      <c r="A56" s="901"/>
      <c r="B56" s="901"/>
      <c r="C56" s="901"/>
      <c r="D56" s="334"/>
      <c r="E56" s="906">
        <v>4540</v>
      </c>
      <c r="F56" s="906">
        <f>R57/1000</f>
        <v>3000</v>
      </c>
      <c r="G56" s="900"/>
      <c r="H56" s="912"/>
      <c r="I56" s="35" t="s">
        <v>550</v>
      </c>
      <c r="J56" s="20"/>
      <c r="K56" s="383"/>
      <c r="L56" s="241"/>
      <c r="M56" s="241"/>
      <c r="N56" s="241"/>
      <c r="O56" s="241"/>
      <c r="P56" s="241"/>
      <c r="Q56" s="241"/>
      <c r="R56" s="64">
        <v>2500000</v>
      </c>
      <c r="S56" s="7"/>
      <c r="T56" s="7"/>
    </row>
    <row r="57" spans="1:20" s="94" customFormat="1" ht="13.5" customHeight="1">
      <c r="A57" s="887"/>
      <c r="B57" s="887"/>
      <c r="C57" s="887"/>
      <c r="D57" s="332"/>
      <c r="E57" s="907"/>
      <c r="F57" s="907"/>
      <c r="G57" s="892"/>
      <c r="H57" s="894"/>
      <c r="I57" s="16"/>
      <c r="J57" s="18"/>
      <c r="K57" s="384"/>
      <c r="L57" s="384"/>
      <c r="M57" s="384"/>
      <c r="N57" s="384"/>
      <c r="O57" s="384"/>
      <c r="P57" s="384"/>
      <c r="Q57" s="384" t="s">
        <v>514</v>
      </c>
      <c r="R57" s="385">
        <f>SUM(R55:R56)</f>
        <v>3000000</v>
      </c>
      <c r="S57" s="7"/>
      <c r="T57" s="7">
        <f>R55+R57</f>
        <v>3500000</v>
      </c>
    </row>
    <row r="58" spans="1:20" s="94" customFormat="1" ht="13.5" customHeight="1">
      <c r="A58" s="334" t="s">
        <v>551</v>
      </c>
      <c r="B58" s="334" t="s">
        <v>551</v>
      </c>
      <c r="C58" s="334"/>
      <c r="D58" s="32"/>
      <c r="E58" s="349">
        <f>SUM(E60)</f>
        <v>0</v>
      </c>
      <c r="F58" s="349">
        <f>SUM(F60)</f>
        <v>0</v>
      </c>
      <c r="G58" s="891">
        <f>F58+F59-E58-E59</f>
        <v>-469116.77299999999</v>
      </c>
      <c r="H58" s="893">
        <f>G58/(E58+E59)</f>
        <v>-0.79847353012763889</v>
      </c>
      <c r="I58" s="106"/>
      <c r="J58" s="28"/>
      <c r="K58" s="381"/>
      <c r="L58" s="382"/>
      <c r="M58" s="382"/>
      <c r="N58" s="382"/>
      <c r="O58" s="382"/>
      <c r="P58" s="382"/>
      <c r="Q58" s="382"/>
      <c r="R58" s="154"/>
      <c r="S58" s="7"/>
      <c r="T58" s="7"/>
    </row>
    <row r="59" spans="1:20" s="94" customFormat="1" ht="13.5" customHeight="1">
      <c r="A59" s="332" t="s">
        <v>552</v>
      </c>
      <c r="B59" s="332" t="s">
        <v>552</v>
      </c>
      <c r="C59" s="332"/>
      <c r="D59" s="24"/>
      <c r="E59" s="386">
        <f>SUM(E61)</f>
        <v>587517</v>
      </c>
      <c r="F59" s="386">
        <f>SUM(F61)</f>
        <v>118400.227</v>
      </c>
      <c r="G59" s="892"/>
      <c r="H59" s="894"/>
      <c r="I59" s="16"/>
      <c r="J59" s="18"/>
      <c r="K59" s="384"/>
      <c r="L59" s="384"/>
      <c r="M59" s="384"/>
      <c r="N59" s="384"/>
      <c r="O59" s="384"/>
      <c r="P59" s="384"/>
      <c r="Q59" s="369"/>
      <c r="R59" s="82">
        <f>R61</f>
        <v>118400227</v>
      </c>
      <c r="S59" s="7"/>
      <c r="T59" s="7">
        <v>498639069</v>
      </c>
    </row>
    <row r="60" spans="1:20" s="94" customFormat="1" ht="13.5" customHeight="1">
      <c r="A60" s="334"/>
      <c r="B60" s="334"/>
      <c r="C60" s="334" t="s">
        <v>551</v>
      </c>
      <c r="D60" s="32"/>
      <c r="E60" s="349">
        <v>0</v>
      </c>
      <c r="F60" s="349">
        <v>0</v>
      </c>
      <c r="G60" s="891">
        <f>F60+F61-E60-E61</f>
        <v>-469116.77299999999</v>
      </c>
      <c r="H60" s="893">
        <f>G60/(E60+E61)</f>
        <v>-0.79847353012763889</v>
      </c>
      <c r="I60" s="106" t="s">
        <v>553</v>
      </c>
      <c r="J60" s="28"/>
      <c r="K60" s="381"/>
      <c r="L60" s="382"/>
      <c r="M60" s="382"/>
      <c r="N60" s="382"/>
      <c r="O60" s="382"/>
      <c r="P60" s="382"/>
      <c r="Q60" s="382"/>
      <c r="R60" s="154">
        <v>118400227</v>
      </c>
      <c r="S60" s="7"/>
      <c r="T60" s="7"/>
    </row>
    <row r="61" spans="1:20" s="94" customFormat="1" ht="13.5" customHeight="1">
      <c r="A61" s="332"/>
      <c r="B61" s="332"/>
      <c r="C61" s="332" t="s">
        <v>552</v>
      </c>
      <c r="D61" s="24"/>
      <c r="E61" s="386">
        <v>587517</v>
      </c>
      <c r="F61" s="386">
        <f>R61/1000</f>
        <v>118400.227</v>
      </c>
      <c r="G61" s="892"/>
      <c r="H61" s="894"/>
      <c r="I61" s="16"/>
      <c r="J61" s="18"/>
      <c r="K61" s="384"/>
      <c r="L61" s="384"/>
      <c r="M61" s="384"/>
      <c r="N61" s="384"/>
      <c r="O61" s="384"/>
      <c r="P61" s="384"/>
      <c r="Q61" s="369" t="s">
        <v>514</v>
      </c>
      <c r="R61" s="82">
        <f>SUM(R60)</f>
        <v>118400227</v>
      </c>
      <c r="S61" s="7"/>
      <c r="T61" s="7">
        <v>498639069</v>
      </c>
    </row>
    <row r="62" spans="1:20" s="20" customFormat="1" ht="15" customHeight="1">
      <c r="S62" s="21"/>
      <c r="T62" s="21"/>
    </row>
    <row r="63" spans="1:20" s="20" customFormat="1" ht="15" customHeight="1">
      <c r="G63" s="20" t="s">
        <v>844</v>
      </c>
      <c r="I63" s="20" t="s">
        <v>1209</v>
      </c>
      <c r="R63" s="777">
        <v>13570740</v>
      </c>
      <c r="S63" s="21"/>
      <c r="T63" s="21"/>
    </row>
    <row r="64" spans="1:20" s="20" customFormat="1" ht="15" customHeight="1">
      <c r="I64" s="20" t="s">
        <v>1210</v>
      </c>
      <c r="R64" s="776">
        <v>0</v>
      </c>
      <c r="S64" s="21"/>
      <c r="T64" s="21"/>
    </row>
    <row r="65" spans="3:20" s="20" customFormat="1" ht="15" customHeight="1">
      <c r="I65" s="20" t="s">
        <v>1110</v>
      </c>
      <c r="R65" s="776">
        <v>0</v>
      </c>
      <c r="S65" s="21"/>
      <c r="T65" s="21"/>
    </row>
    <row r="66" spans="3:20" s="20" customFormat="1" ht="15" customHeight="1">
      <c r="I66" s="20" t="s">
        <v>1109</v>
      </c>
      <c r="R66" s="776">
        <v>0</v>
      </c>
      <c r="S66" s="21"/>
      <c r="T66" s="21"/>
    </row>
    <row r="67" spans="3:20" s="20" customFormat="1" ht="15" customHeight="1">
      <c r="I67" s="20" t="s">
        <v>1106</v>
      </c>
      <c r="R67" s="776">
        <v>1826894</v>
      </c>
      <c r="S67" s="21"/>
      <c r="T67" s="21"/>
    </row>
    <row r="68" spans="3:20" s="20" customFormat="1" ht="15" customHeight="1">
      <c r="I68" s="20" t="s">
        <v>1211</v>
      </c>
      <c r="R68" s="776">
        <v>0</v>
      </c>
      <c r="S68" s="21"/>
      <c r="T68" s="21"/>
    </row>
    <row r="69" spans="3:20" s="20" customFormat="1" ht="15" customHeight="1">
      <c r="I69" s="20" t="s">
        <v>1111</v>
      </c>
      <c r="J69" s="21"/>
      <c r="L69" s="913"/>
      <c r="M69" s="913"/>
      <c r="N69" s="913"/>
      <c r="O69" s="913"/>
      <c r="R69" s="776">
        <v>1336827</v>
      </c>
      <c r="S69" s="21"/>
      <c r="T69" s="21"/>
    </row>
    <row r="70" spans="3:20" s="158" customFormat="1" ht="15" customHeight="1">
      <c r="I70" s="20" t="s">
        <v>1108</v>
      </c>
      <c r="R70" s="776">
        <v>0</v>
      </c>
      <c r="S70" s="172"/>
      <c r="T70" s="172"/>
    </row>
    <row r="71" spans="3:20" s="158" customFormat="1" ht="15" customHeight="1">
      <c r="I71" s="20" t="s">
        <v>1212</v>
      </c>
      <c r="R71" s="776">
        <v>48117</v>
      </c>
      <c r="S71" s="172"/>
      <c r="T71" s="172"/>
    </row>
    <row r="72" spans="3:20" s="158" customFormat="1" ht="15" customHeight="1">
      <c r="I72" s="20" t="s">
        <v>1213</v>
      </c>
      <c r="R72" s="776">
        <v>0</v>
      </c>
      <c r="S72" s="172"/>
      <c r="T72" s="172"/>
    </row>
    <row r="73" spans="3:20" s="158" customFormat="1" ht="15" customHeight="1">
      <c r="I73" s="20" t="s">
        <v>1214</v>
      </c>
      <c r="R73" s="776">
        <v>0</v>
      </c>
      <c r="S73" s="172"/>
      <c r="T73" s="172"/>
    </row>
    <row r="74" spans="3:20" s="158" customFormat="1" ht="17.25" customHeight="1">
      <c r="I74" s="20" t="s">
        <v>1215</v>
      </c>
      <c r="R74" s="776">
        <v>3793372</v>
      </c>
      <c r="S74" s="172"/>
      <c r="T74" s="172"/>
    </row>
    <row r="75" spans="3:20" s="158" customFormat="1" ht="17.25" customHeight="1">
      <c r="I75" s="158" t="s">
        <v>1107</v>
      </c>
      <c r="R75" s="775">
        <v>0</v>
      </c>
      <c r="S75" s="172"/>
      <c r="T75" s="172"/>
    </row>
    <row r="76" spans="3:20" s="158" customFormat="1" ht="17.25" customHeight="1">
      <c r="I76" s="158" t="s">
        <v>1098</v>
      </c>
      <c r="R76" s="776">
        <v>0</v>
      </c>
      <c r="S76" s="172"/>
      <c r="T76" s="172"/>
    </row>
    <row r="77" spans="3:20" s="158" customFormat="1" ht="15" customHeight="1">
      <c r="C77" s="325"/>
      <c r="D77" s="325"/>
      <c r="E77" s="387"/>
      <c r="F77" s="387"/>
      <c r="G77" s="325"/>
      <c r="H77" s="325"/>
      <c r="I77" s="158" t="s">
        <v>1114</v>
      </c>
      <c r="J77" s="172"/>
      <c r="R77" s="776">
        <v>17192157</v>
      </c>
      <c r="S77" s="172"/>
      <c r="T77" s="172"/>
    </row>
    <row r="78" spans="3:20" s="158" customFormat="1" ht="15" customHeight="1">
      <c r="C78" s="325"/>
      <c r="D78" s="325"/>
      <c r="E78" s="387"/>
      <c r="F78" s="387"/>
      <c r="G78" s="325"/>
      <c r="H78" s="325"/>
      <c r="I78" s="158" t="s">
        <v>1219</v>
      </c>
      <c r="J78" s="172"/>
      <c r="R78" s="776">
        <v>6826466</v>
      </c>
      <c r="S78" s="172"/>
      <c r="T78" s="172"/>
    </row>
    <row r="79" spans="3:20" s="158" customFormat="1" ht="15" customHeight="1">
      <c r="C79" s="325"/>
      <c r="D79" s="325"/>
      <c r="E79" s="387"/>
      <c r="F79" s="387"/>
      <c r="G79" s="325"/>
      <c r="H79" s="325"/>
      <c r="I79" s="158" t="s">
        <v>1115</v>
      </c>
      <c r="J79" s="172"/>
      <c r="R79" s="776">
        <v>4591488</v>
      </c>
      <c r="S79" s="172"/>
      <c r="T79" s="172"/>
    </row>
    <row r="80" spans="3:20" s="158" customFormat="1" ht="15" customHeight="1">
      <c r="C80" s="325"/>
      <c r="D80" s="325"/>
      <c r="E80" s="387"/>
      <c r="F80" s="387"/>
      <c r="G80" s="325"/>
      <c r="H80" s="325"/>
      <c r="I80" s="158" t="s">
        <v>1104</v>
      </c>
      <c r="J80" s="172"/>
      <c r="R80" s="776">
        <v>4000021</v>
      </c>
      <c r="S80" s="172"/>
      <c r="T80" s="172"/>
    </row>
    <row r="81" spans="3:20" s="158" customFormat="1" ht="15" customHeight="1">
      <c r="C81" s="325"/>
      <c r="D81" s="325"/>
      <c r="E81" s="387"/>
      <c r="F81" s="387"/>
      <c r="G81" s="325"/>
      <c r="H81" s="325"/>
      <c r="I81" s="158" t="s">
        <v>1113</v>
      </c>
      <c r="J81" s="172"/>
      <c r="R81" s="776">
        <v>1016450</v>
      </c>
      <c r="S81" s="172"/>
      <c r="T81" s="172"/>
    </row>
    <row r="82" spans="3:20" s="158" customFormat="1" ht="15" customHeight="1">
      <c r="C82" s="325"/>
      <c r="D82" s="325"/>
      <c r="E82" s="387"/>
      <c r="F82" s="387"/>
      <c r="G82" s="325"/>
      <c r="H82" s="325"/>
      <c r="I82" s="158" t="s">
        <v>1216</v>
      </c>
      <c r="J82" s="172"/>
      <c r="R82" s="775">
        <v>0</v>
      </c>
      <c r="S82" s="172"/>
      <c r="T82" s="172"/>
    </row>
    <row r="83" spans="3:20" s="158" customFormat="1" ht="15" customHeight="1">
      <c r="C83" s="325"/>
      <c r="D83" s="325"/>
      <c r="E83" s="387"/>
      <c r="F83" s="387"/>
      <c r="G83" s="325"/>
      <c r="H83" s="325"/>
      <c r="I83" s="158" t="s">
        <v>1112</v>
      </c>
      <c r="J83" s="172"/>
      <c r="R83" s="776">
        <v>773769</v>
      </c>
      <c r="S83" s="172"/>
      <c r="T83" s="172"/>
    </row>
    <row r="84" spans="3:20" s="158" customFormat="1" ht="15" customHeight="1">
      <c r="C84" s="325"/>
      <c r="D84" s="325"/>
      <c r="E84" s="387"/>
      <c r="F84" s="387"/>
      <c r="G84" s="325"/>
      <c r="H84" s="325"/>
      <c r="I84" s="158" t="s">
        <v>1097</v>
      </c>
      <c r="J84" s="172"/>
      <c r="R84" s="778">
        <v>0</v>
      </c>
      <c r="S84" s="172"/>
      <c r="T84" s="172"/>
    </row>
    <row r="85" spans="3:20" s="158" customFormat="1" ht="15" customHeight="1">
      <c r="C85" s="325"/>
      <c r="D85" s="325"/>
      <c r="E85" s="387"/>
      <c r="F85" s="387"/>
      <c r="G85" s="325"/>
      <c r="H85" s="325"/>
      <c r="I85" s="158" t="s">
        <v>1105</v>
      </c>
      <c r="J85" s="172"/>
      <c r="R85" s="776">
        <v>0</v>
      </c>
      <c r="S85" s="172"/>
      <c r="T85" s="172"/>
    </row>
    <row r="86" spans="3:20" s="158" customFormat="1" ht="15" customHeight="1">
      <c r="C86" s="325"/>
      <c r="D86" s="325"/>
      <c r="E86" s="387"/>
      <c r="F86" s="387"/>
      <c r="G86" s="325"/>
      <c r="H86" s="325"/>
      <c r="I86" s="158" t="s">
        <v>1099</v>
      </c>
      <c r="J86" s="172"/>
      <c r="R86" s="776">
        <v>0</v>
      </c>
      <c r="S86" s="172"/>
      <c r="T86" s="172"/>
    </row>
    <row r="87" spans="3:20" s="158" customFormat="1" ht="15" customHeight="1">
      <c r="C87" s="325"/>
      <c r="D87" s="325"/>
      <c r="E87" s="387"/>
      <c r="F87" s="387"/>
      <c r="G87" s="325"/>
      <c r="H87" s="325"/>
      <c r="I87" s="158" t="s">
        <v>1217</v>
      </c>
      <c r="J87" s="172"/>
      <c r="R87" s="776">
        <v>0</v>
      </c>
      <c r="S87" s="172"/>
      <c r="T87" s="172"/>
    </row>
    <row r="88" spans="3:20" s="158" customFormat="1" ht="15" customHeight="1">
      <c r="C88" s="325"/>
      <c r="D88" s="325"/>
      <c r="E88" s="387"/>
      <c r="F88" s="387"/>
      <c r="G88" s="325"/>
      <c r="H88" s="325"/>
      <c r="I88" s="158" t="s">
        <v>1095</v>
      </c>
      <c r="J88" s="172"/>
      <c r="R88" s="776">
        <v>0</v>
      </c>
      <c r="S88" s="172"/>
      <c r="T88" s="172"/>
    </row>
    <row r="89" spans="3:20" s="158" customFormat="1" ht="15" customHeight="1">
      <c r="C89" s="325"/>
      <c r="D89" s="325"/>
      <c r="E89" s="387"/>
      <c r="F89" s="387"/>
      <c r="G89" s="325"/>
      <c r="H89" s="325"/>
      <c r="I89" s="158" t="s">
        <v>1096</v>
      </c>
      <c r="J89" s="172"/>
      <c r="R89" s="775">
        <v>0</v>
      </c>
      <c r="S89" s="172"/>
      <c r="T89" s="172"/>
    </row>
    <row r="90" spans="3:20" s="158" customFormat="1" ht="15" customHeight="1">
      <c r="C90" s="325"/>
      <c r="D90" s="325"/>
      <c r="E90" s="387"/>
      <c r="F90" s="387"/>
      <c r="G90" s="325"/>
      <c r="H90" s="325"/>
      <c r="I90" s="158" t="s">
        <v>1103</v>
      </c>
      <c r="J90" s="172"/>
      <c r="R90" s="776">
        <v>0</v>
      </c>
      <c r="S90" s="172"/>
      <c r="T90" s="172"/>
    </row>
    <row r="91" spans="3:20" s="158" customFormat="1" ht="15" customHeight="1">
      <c r="C91" s="325"/>
      <c r="D91" s="325"/>
      <c r="E91" s="387"/>
      <c r="F91" s="387"/>
      <c r="G91" s="325"/>
      <c r="H91" s="325"/>
      <c r="I91" s="158" t="s">
        <v>1101</v>
      </c>
      <c r="J91" s="172"/>
      <c r="R91" s="776">
        <v>3784353</v>
      </c>
      <c r="S91" s="172"/>
      <c r="T91" s="172"/>
    </row>
    <row r="92" spans="3:20" s="158" customFormat="1" ht="15" customHeight="1">
      <c r="C92" s="325"/>
      <c r="D92" s="325"/>
      <c r="E92" s="387"/>
      <c r="F92" s="387"/>
      <c r="G92" s="325"/>
      <c r="H92" s="325"/>
      <c r="I92" s="158" t="s">
        <v>1218</v>
      </c>
      <c r="J92" s="172"/>
      <c r="R92" s="776">
        <v>0</v>
      </c>
      <c r="S92" s="172"/>
      <c r="T92" s="172"/>
    </row>
    <row r="93" spans="3:20" s="158" customFormat="1" ht="15" customHeight="1">
      <c r="C93" s="325"/>
      <c r="D93" s="325"/>
      <c r="E93" s="387"/>
      <c r="F93" s="387"/>
      <c r="G93" s="325"/>
      <c r="H93" s="325"/>
      <c r="I93" s="158" t="s">
        <v>1093</v>
      </c>
      <c r="J93" s="172"/>
      <c r="R93" s="776">
        <v>5597229</v>
      </c>
      <c r="S93" s="172"/>
      <c r="T93" s="172"/>
    </row>
    <row r="94" spans="3:20" s="158" customFormat="1" ht="15" customHeight="1">
      <c r="C94" s="325"/>
      <c r="D94" s="325"/>
      <c r="E94" s="387"/>
      <c r="F94" s="387"/>
      <c r="G94" s="325"/>
      <c r="H94" s="325"/>
      <c r="I94" s="158" t="s">
        <v>1100</v>
      </c>
      <c r="J94" s="172"/>
      <c r="R94" s="776">
        <v>54042314</v>
      </c>
      <c r="S94" s="172"/>
      <c r="T94" s="172"/>
    </row>
    <row r="95" spans="3:20" s="158" customFormat="1" ht="15" customHeight="1">
      <c r="C95" s="325"/>
      <c r="D95" s="325"/>
      <c r="E95" s="387"/>
      <c r="F95" s="387"/>
      <c r="G95" s="325"/>
      <c r="H95" s="325"/>
      <c r="I95" s="158" t="s">
        <v>1102</v>
      </c>
      <c r="J95" s="172"/>
      <c r="R95" s="774">
        <v>30</v>
      </c>
      <c r="S95" s="172"/>
      <c r="T95" s="172"/>
    </row>
    <row r="96" spans="3:20" s="158" customFormat="1" ht="15" customHeight="1">
      <c r="C96" s="325"/>
      <c r="D96" s="325"/>
      <c r="E96" s="387"/>
      <c r="F96" s="387"/>
      <c r="G96" s="325"/>
      <c r="H96" s="325"/>
      <c r="J96" s="172"/>
      <c r="R96" s="388"/>
      <c r="S96" s="172"/>
      <c r="T96" s="172"/>
    </row>
    <row r="97" spans="3:20" s="158" customFormat="1" ht="15" customHeight="1">
      <c r="C97" s="325"/>
      <c r="D97" s="325"/>
      <c r="E97" s="387"/>
      <c r="F97" s="387"/>
      <c r="G97" s="325"/>
      <c r="H97" s="325"/>
      <c r="J97" s="172"/>
      <c r="R97" s="388"/>
      <c r="S97" s="172"/>
      <c r="T97" s="172"/>
    </row>
    <row r="98" spans="3:20" s="158" customFormat="1" ht="15" customHeight="1">
      <c r="C98" s="325"/>
      <c r="D98" s="325"/>
      <c r="E98" s="387"/>
      <c r="F98" s="387"/>
      <c r="G98" s="325"/>
      <c r="H98" s="325"/>
      <c r="J98" s="172"/>
      <c r="R98" s="388"/>
      <c r="S98" s="172"/>
      <c r="T98" s="172"/>
    </row>
    <row r="99" spans="3:20" s="158" customFormat="1" ht="15" customHeight="1">
      <c r="C99" s="325"/>
      <c r="D99" s="325"/>
      <c r="E99" s="387"/>
      <c r="F99" s="387"/>
      <c r="G99" s="325"/>
      <c r="H99" s="325"/>
      <c r="J99" s="172"/>
      <c r="R99" s="388"/>
      <c r="S99" s="172"/>
      <c r="T99" s="172"/>
    </row>
    <row r="100" spans="3:20" s="158" customFormat="1" ht="15" customHeight="1">
      <c r="C100" s="325"/>
      <c r="D100" s="325"/>
      <c r="E100" s="387"/>
      <c r="F100" s="387"/>
      <c r="G100" s="325"/>
      <c r="H100" s="325"/>
      <c r="J100" s="172"/>
      <c r="R100" s="388"/>
      <c r="S100" s="172"/>
      <c r="T100" s="172"/>
    </row>
    <row r="101" spans="3:20" s="158" customFormat="1" ht="15" customHeight="1">
      <c r="C101" s="325"/>
      <c r="D101" s="325"/>
      <c r="E101" s="387"/>
      <c r="F101" s="387"/>
      <c r="G101" s="325"/>
      <c r="H101" s="325"/>
      <c r="J101" s="172"/>
      <c r="R101" s="388"/>
      <c r="S101" s="172"/>
      <c r="T101" s="172"/>
    </row>
    <row r="102" spans="3:20" s="158" customFormat="1" ht="15" customHeight="1">
      <c r="C102" s="325"/>
      <c r="D102" s="325"/>
      <c r="E102" s="387"/>
      <c r="F102" s="387"/>
      <c r="G102" s="325"/>
      <c r="H102" s="325"/>
      <c r="J102" s="172"/>
      <c r="R102" s="388"/>
      <c r="S102" s="172"/>
      <c r="T102" s="172"/>
    </row>
    <row r="103" spans="3:20" s="158" customFormat="1" ht="15" customHeight="1">
      <c r="C103" s="325"/>
      <c r="D103" s="325"/>
      <c r="E103" s="387"/>
      <c r="F103" s="387"/>
      <c r="G103" s="325"/>
      <c r="H103" s="325"/>
      <c r="J103" s="172"/>
      <c r="R103" s="388"/>
      <c r="S103" s="172"/>
      <c r="T103" s="172"/>
    </row>
    <row r="104" spans="3:20" s="158" customFormat="1" ht="15" customHeight="1">
      <c r="C104" s="325"/>
      <c r="D104" s="325"/>
      <c r="E104" s="387"/>
      <c r="F104" s="387"/>
      <c r="G104" s="325"/>
      <c r="H104" s="325"/>
      <c r="J104" s="172"/>
      <c r="R104" s="388"/>
      <c r="S104" s="172"/>
      <c r="T104" s="172"/>
    </row>
    <row r="105" spans="3:20" s="158" customFormat="1" ht="15" customHeight="1">
      <c r="C105" s="325"/>
      <c r="D105" s="325"/>
      <c r="E105" s="387"/>
      <c r="F105" s="387"/>
      <c r="G105" s="325"/>
      <c r="H105" s="325"/>
      <c r="J105" s="172"/>
      <c r="R105" s="388"/>
      <c r="S105" s="172"/>
      <c r="T105" s="172"/>
    </row>
    <row r="106" spans="3:20" s="158" customFormat="1" ht="15" customHeight="1">
      <c r="C106" s="325"/>
      <c r="D106" s="325"/>
      <c r="E106" s="387"/>
      <c r="F106" s="387"/>
      <c r="G106" s="325"/>
      <c r="H106" s="325"/>
      <c r="J106" s="172"/>
      <c r="R106" s="388"/>
      <c r="S106" s="172"/>
      <c r="T106" s="172"/>
    </row>
    <row r="107" spans="3:20" s="158" customFormat="1" ht="15" customHeight="1">
      <c r="C107" s="325"/>
      <c r="D107" s="325"/>
      <c r="E107" s="387"/>
      <c r="F107" s="387"/>
      <c r="G107" s="325"/>
      <c r="H107" s="325"/>
      <c r="J107" s="172"/>
      <c r="R107" s="388"/>
      <c r="S107" s="172"/>
      <c r="T107" s="172"/>
    </row>
    <row r="108" spans="3:20" s="158" customFormat="1" ht="15" customHeight="1">
      <c r="C108" s="325"/>
      <c r="D108" s="325"/>
      <c r="E108" s="387"/>
      <c r="F108" s="387"/>
      <c r="G108" s="325"/>
      <c r="H108" s="325"/>
      <c r="J108" s="172"/>
      <c r="R108" s="388"/>
      <c r="S108" s="172"/>
      <c r="T108" s="172"/>
    </row>
    <row r="109" spans="3:20" s="158" customFormat="1" ht="15" customHeight="1">
      <c r="C109" s="325"/>
      <c r="D109" s="325"/>
      <c r="E109" s="387"/>
      <c r="F109" s="387"/>
      <c r="G109" s="325"/>
      <c r="H109" s="325"/>
      <c r="J109" s="172"/>
      <c r="R109" s="388"/>
      <c r="S109" s="172"/>
      <c r="T109" s="172"/>
    </row>
    <row r="110" spans="3:20" s="158" customFormat="1" ht="15" customHeight="1">
      <c r="C110" s="325"/>
      <c r="D110" s="325"/>
      <c r="E110" s="387"/>
      <c r="F110" s="387"/>
      <c r="G110" s="325"/>
      <c r="H110" s="325"/>
      <c r="J110" s="172"/>
      <c r="R110" s="388"/>
      <c r="S110" s="172"/>
      <c r="T110" s="172"/>
    </row>
    <row r="111" spans="3:20" s="158" customFormat="1" ht="15" customHeight="1">
      <c r="C111" s="325"/>
      <c r="D111" s="325"/>
      <c r="E111" s="387"/>
      <c r="F111" s="387"/>
      <c r="G111" s="325"/>
      <c r="H111" s="325"/>
      <c r="J111" s="172"/>
      <c r="R111" s="388"/>
      <c r="S111" s="172"/>
      <c r="T111" s="172"/>
    </row>
    <row r="112" spans="3:20" s="158" customFormat="1" ht="15" customHeight="1">
      <c r="C112" s="325"/>
      <c r="D112" s="325"/>
      <c r="E112" s="387"/>
      <c r="F112" s="387"/>
      <c r="G112" s="325"/>
      <c r="H112" s="325"/>
      <c r="J112" s="172"/>
      <c r="R112" s="388"/>
      <c r="S112" s="172"/>
      <c r="T112" s="172"/>
    </row>
    <row r="113" spans="3:20" s="158" customFormat="1" ht="15" customHeight="1">
      <c r="C113" s="325"/>
      <c r="D113" s="325"/>
      <c r="E113" s="387"/>
      <c r="F113" s="387"/>
      <c r="G113" s="325"/>
      <c r="H113" s="325"/>
      <c r="J113" s="172"/>
      <c r="R113" s="388"/>
      <c r="S113" s="172"/>
      <c r="T113" s="172"/>
    </row>
    <row r="114" spans="3:20" s="158" customFormat="1" ht="15" customHeight="1">
      <c r="C114" s="325"/>
      <c r="D114" s="325"/>
      <c r="E114" s="387"/>
      <c r="F114" s="387"/>
      <c r="G114" s="325"/>
      <c r="H114" s="325"/>
      <c r="J114" s="172"/>
      <c r="R114" s="388"/>
      <c r="S114" s="172"/>
      <c r="T114" s="172"/>
    </row>
    <row r="115" spans="3:20" s="158" customFormat="1" ht="15" customHeight="1">
      <c r="C115" s="325"/>
      <c r="D115" s="325"/>
      <c r="E115" s="387"/>
      <c r="F115" s="387"/>
      <c r="G115" s="325"/>
      <c r="H115" s="325"/>
      <c r="J115" s="172"/>
      <c r="R115" s="388"/>
      <c r="S115" s="172"/>
      <c r="T115" s="172"/>
    </row>
    <row r="116" spans="3:20" s="158" customFormat="1" ht="15" customHeight="1">
      <c r="C116" s="325"/>
      <c r="D116" s="325"/>
      <c r="E116" s="387"/>
      <c r="F116" s="387"/>
      <c r="G116" s="325"/>
      <c r="H116" s="325"/>
      <c r="J116" s="172"/>
      <c r="R116" s="388"/>
      <c r="S116" s="172"/>
      <c r="T116" s="172"/>
    </row>
    <row r="117" spans="3:20" s="158" customFormat="1" ht="15" customHeight="1">
      <c r="C117" s="325"/>
      <c r="D117" s="325"/>
      <c r="E117" s="387"/>
      <c r="F117" s="387"/>
      <c r="G117" s="325"/>
      <c r="H117" s="325"/>
      <c r="J117" s="172"/>
      <c r="R117" s="388"/>
      <c r="S117" s="172"/>
      <c r="T117" s="172"/>
    </row>
    <row r="118" spans="3:20" s="158" customFormat="1" ht="15" customHeight="1">
      <c r="C118" s="325"/>
      <c r="D118" s="325"/>
      <c r="E118" s="387"/>
      <c r="F118" s="387"/>
      <c r="G118" s="325"/>
      <c r="H118" s="325"/>
      <c r="J118" s="172"/>
      <c r="R118" s="388"/>
      <c r="S118" s="172"/>
      <c r="T118" s="172"/>
    </row>
    <row r="119" spans="3:20" s="158" customFormat="1" ht="15" customHeight="1">
      <c r="C119" s="325"/>
      <c r="D119" s="325"/>
      <c r="E119" s="387"/>
      <c r="F119" s="387"/>
      <c r="G119" s="325"/>
      <c r="H119" s="325"/>
      <c r="J119" s="172"/>
      <c r="R119" s="388"/>
      <c r="S119" s="172"/>
      <c r="T119" s="172"/>
    </row>
    <row r="120" spans="3:20" s="158" customFormat="1" ht="15" customHeight="1">
      <c r="C120" s="325"/>
      <c r="D120" s="325"/>
      <c r="E120" s="387"/>
      <c r="F120" s="387"/>
      <c r="G120" s="325"/>
      <c r="H120" s="325"/>
      <c r="J120" s="172"/>
      <c r="R120" s="388"/>
      <c r="S120" s="172"/>
      <c r="T120" s="172"/>
    </row>
    <row r="121" spans="3:20" s="158" customFormat="1" ht="15" customHeight="1">
      <c r="C121" s="325"/>
      <c r="D121" s="325"/>
      <c r="E121" s="387"/>
      <c r="F121" s="387"/>
      <c r="G121" s="325"/>
      <c r="H121" s="325"/>
      <c r="J121" s="172"/>
      <c r="R121" s="388"/>
      <c r="S121" s="172"/>
      <c r="T121" s="172"/>
    </row>
    <row r="122" spans="3:20" s="158" customFormat="1" ht="15" customHeight="1">
      <c r="C122" s="325"/>
      <c r="D122" s="325"/>
      <c r="E122" s="387"/>
      <c r="F122" s="387"/>
      <c r="G122" s="325"/>
      <c r="H122" s="325"/>
      <c r="J122" s="172"/>
      <c r="R122" s="388"/>
      <c r="S122" s="172"/>
      <c r="T122" s="172"/>
    </row>
    <row r="123" spans="3:20" s="158" customFormat="1" ht="15" customHeight="1">
      <c r="C123" s="325"/>
      <c r="D123" s="325"/>
      <c r="E123" s="387"/>
      <c r="F123" s="387"/>
      <c r="G123" s="325"/>
      <c r="H123" s="325"/>
      <c r="J123" s="172"/>
      <c r="R123" s="388"/>
      <c r="S123" s="172"/>
      <c r="T123" s="172"/>
    </row>
    <row r="124" spans="3:20" s="158" customFormat="1" ht="15" customHeight="1">
      <c r="C124" s="325"/>
      <c r="D124" s="325"/>
      <c r="E124" s="387"/>
      <c r="F124" s="387"/>
      <c r="G124" s="325"/>
      <c r="H124" s="325"/>
      <c r="J124" s="172"/>
      <c r="R124" s="388"/>
      <c r="S124" s="172"/>
      <c r="T124" s="172"/>
    </row>
    <row r="125" spans="3:20" s="158" customFormat="1" ht="15" customHeight="1">
      <c r="C125" s="325"/>
      <c r="D125" s="325"/>
      <c r="E125" s="387"/>
      <c r="F125" s="387"/>
      <c r="G125" s="325"/>
      <c r="H125" s="325"/>
      <c r="J125" s="172"/>
      <c r="R125" s="388"/>
      <c r="S125" s="172"/>
      <c r="T125" s="172"/>
    </row>
    <row r="126" spans="3:20" s="158" customFormat="1" ht="15" customHeight="1">
      <c r="C126" s="325"/>
      <c r="D126" s="325"/>
      <c r="E126" s="387"/>
      <c r="F126" s="387"/>
      <c r="G126" s="325"/>
      <c r="H126" s="325"/>
      <c r="J126" s="172"/>
      <c r="R126" s="388"/>
      <c r="S126" s="172"/>
      <c r="T126" s="172"/>
    </row>
    <row r="127" spans="3:20" s="158" customFormat="1" ht="15" customHeight="1">
      <c r="C127" s="325"/>
      <c r="D127" s="325"/>
      <c r="E127" s="387"/>
      <c r="F127" s="387"/>
      <c r="G127" s="325"/>
      <c r="H127" s="325"/>
      <c r="J127" s="172"/>
      <c r="R127" s="388"/>
      <c r="S127" s="172"/>
      <c r="T127" s="172"/>
    </row>
    <row r="128" spans="3:20" s="158" customFormat="1" ht="15" customHeight="1">
      <c r="C128" s="325"/>
      <c r="D128" s="325"/>
      <c r="E128" s="387"/>
      <c r="F128" s="387"/>
      <c r="G128" s="325"/>
      <c r="H128" s="325"/>
      <c r="J128" s="172"/>
      <c r="R128" s="388"/>
      <c r="S128" s="172"/>
      <c r="T128" s="172"/>
    </row>
    <row r="129" spans="3:20" s="158" customFormat="1" ht="15" customHeight="1">
      <c r="C129" s="325"/>
      <c r="D129" s="325"/>
      <c r="E129" s="387"/>
      <c r="F129" s="387"/>
      <c r="G129" s="325"/>
      <c r="H129" s="325"/>
      <c r="J129" s="172"/>
      <c r="R129" s="388"/>
      <c r="S129" s="172"/>
      <c r="T129" s="172"/>
    </row>
    <row r="130" spans="3:20" s="158" customFormat="1" ht="15" customHeight="1">
      <c r="C130" s="325"/>
      <c r="D130" s="325"/>
      <c r="E130" s="387"/>
      <c r="F130" s="387"/>
      <c r="G130" s="325"/>
      <c r="H130" s="325"/>
      <c r="J130" s="172"/>
      <c r="R130" s="388"/>
      <c r="S130" s="172"/>
      <c r="T130" s="172"/>
    </row>
    <row r="131" spans="3:20" s="158" customFormat="1" ht="15" customHeight="1">
      <c r="C131" s="325"/>
      <c r="D131" s="325"/>
      <c r="E131" s="387"/>
      <c r="F131" s="387"/>
      <c r="G131" s="325"/>
      <c r="H131" s="325"/>
      <c r="J131" s="172"/>
      <c r="R131" s="388"/>
      <c r="S131" s="172"/>
      <c r="T131" s="172"/>
    </row>
    <row r="132" spans="3:20" s="158" customFormat="1" ht="15" customHeight="1">
      <c r="C132" s="325"/>
      <c r="D132" s="325"/>
      <c r="E132" s="387"/>
      <c r="F132" s="387"/>
      <c r="G132" s="325"/>
      <c r="H132" s="325"/>
      <c r="J132" s="172"/>
      <c r="R132" s="388"/>
      <c r="S132" s="172"/>
      <c r="T132" s="172"/>
    </row>
    <row r="133" spans="3:20" s="158" customFormat="1" ht="15" customHeight="1">
      <c r="C133" s="325"/>
      <c r="D133" s="325"/>
      <c r="E133" s="387"/>
      <c r="F133" s="387"/>
      <c r="G133" s="325"/>
      <c r="H133" s="325"/>
      <c r="J133" s="172"/>
      <c r="R133" s="388"/>
      <c r="S133" s="172"/>
      <c r="T133" s="172"/>
    </row>
    <row r="134" spans="3:20" s="158" customFormat="1" ht="15" customHeight="1">
      <c r="C134" s="325"/>
      <c r="D134" s="325"/>
      <c r="E134" s="387"/>
      <c r="F134" s="387"/>
      <c r="G134" s="325"/>
      <c r="H134" s="325"/>
      <c r="J134" s="172"/>
      <c r="R134" s="388"/>
      <c r="S134" s="172"/>
      <c r="T134" s="172"/>
    </row>
    <row r="135" spans="3:20" s="158" customFormat="1" ht="15" customHeight="1">
      <c r="C135" s="325"/>
      <c r="D135" s="325"/>
      <c r="E135" s="387"/>
      <c r="F135" s="387"/>
      <c r="G135" s="325"/>
      <c r="H135" s="325"/>
      <c r="J135" s="172"/>
      <c r="R135" s="388"/>
      <c r="S135" s="172"/>
      <c r="T135" s="172"/>
    </row>
    <row r="136" spans="3:20" s="158" customFormat="1" ht="15" customHeight="1">
      <c r="C136" s="325"/>
      <c r="D136" s="325"/>
      <c r="E136" s="387"/>
      <c r="F136" s="387"/>
      <c r="G136" s="325"/>
      <c r="H136" s="325"/>
      <c r="J136" s="172"/>
      <c r="R136" s="388"/>
      <c r="S136" s="172"/>
      <c r="T136" s="172"/>
    </row>
    <row r="137" spans="3:20" s="158" customFormat="1" ht="15" customHeight="1">
      <c r="C137" s="325"/>
      <c r="D137" s="325"/>
      <c r="E137" s="387"/>
      <c r="F137" s="387"/>
      <c r="G137" s="325"/>
      <c r="H137" s="325"/>
      <c r="J137" s="172"/>
      <c r="R137" s="388"/>
      <c r="S137" s="172"/>
      <c r="T137" s="172"/>
    </row>
    <row r="138" spans="3:20" s="158" customFormat="1" ht="15" customHeight="1">
      <c r="C138" s="325"/>
      <c r="D138" s="325"/>
      <c r="E138" s="387"/>
      <c r="F138" s="387"/>
      <c r="G138" s="325"/>
      <c r="H138" s="325"/>
      <c r="J138" s="172"/>
      <c r="R138" s="388"/>
      <c r="S138" s="172"/>
      <c r="T138" s="172"/>
    </row>
    <row r="139" spans="3:20" s="158" customFormat="1" ht="15" customHeight="1">
      <c r="C139" s="325"/>
      <c r="D139" s="325"/>
      <c r="E139" s="387"/>
      <c r="F139" s="387"/>
      <c r="G139" s="325"/>
      <c r="H139" s="325"/>
      <c r="J139" s="172"/>
      <c r="R139" s="388"/>
      <c r="S139" s="172"/>
      <c r="T139" s="172"/>
    </row>
    <row r="140" spans="3:20" s="158" customFormat="1" ht="15" customHeight="1">
      <c r="C140" s="325"/>
      <c r="D140" s="325"/>
      <c r="E140" s="387"/>
      <c r="F140" s="387"/>
      <c r="G140" s="325"/>
      <c r="H140" s="325"/>
      <c r="J140" s="172"/>
      <c r="R140" s="388"/>
      <c r="S140" s="172"/>
      <c r="T140" s="172"/>
    </row>
    <row r="141" spans="3:20" s="158" customFormat="1" ht="15" customHeight="1">
      <c r="C141" s="325"/>
      <c r="D141" s="325"/>
      <c r="E141" s="387"/>
      <c r="F141" s="387"/>
      <c r="G141" s="325"/>
      <c r="H141" s="325"/>
      <c r="J141" s="172"/>
      <c r="R141" s="388"/>
      <c r="S141" s="172"/>
      <c r="T141" s="172"/>
    </row>
    <row r="142" spans="3:20" s="158" customFormat="1" ht="15" customHeight="1">
      <c r="C142" s="325"/>
      <c r="D142" s="325"/>
      <c r="E142" s="387"/>
      <c r="F142" s="387"/>
      <c r="G142" s="325"/>
      <c r="H142" s="325"/>
      <c r="J142" s="172"/>
      <c r="R142" s="388"/>
      <c r="S142" s="172"/>
      <c r="T142" s="172"/>
    </row>
    <row r="143" spans="3:20" s="158" customFormat="1" ht="15" customHeight="1">
      <c r="C143" s="325"/>
      <c r="D143" s="325"/>
      <c r="E143" s="387"/>
      <c r="F143" s="387"/>
      <c r="G143" s="325"/>
      <c r="H143" s="325"/>
      <c r="J143" s="172"/>
      <c r="R143" s="388"/>
      <c r="S143" s="172"/>
      <c r="T143" s="172"/>
    </row>
    <row r="144" spans="3:20" s="158" customFormat="1" ht="15" customHeight="1">
      <c r="C144" s="325"/>
      <c r="D144" s="325"/>
      <c r="E144" s="387"/>
      <c r="F144" s="387"/>
      <c r="G144" s="325"/>
      <c r="H144" s="325"/>
      <c r="J144" s="172"/>
      <c r="R144" s="388"/>
      <c r="S144" s="172"/>
      <c r="T144" s="172"/>
    </row>
    <row r="145" spans="3:20" s="158" customFormat="1" ht="15" customHeight="1">
      <c r="C145" s="325"/>
      <c r="D145" s="325"/>
      <c r="E145" s="387"/>
      <c r="F145" s="387"/>
      <c r="G145" s="325"/>
      <c r="H145" s="325"/>
      <c r="J145" s="172"/>
      <c r="R145" s="388"/>
      <c r="S145" s="172"/>
      <c r="T145" s="172"/>
    </row>
    <row r="146" spans="3:20" s="158" customFormat="1" ht="15" customHeight="1">
      <c r="C146" s="325"/>
      <c r="D146" s="325"/>
      <c r="E146" s="387"/>
      <c r="F146" s="387"/>
      <c r="G146" s="325"/>
      <c r="H146" s="325"/>
      <c r="J146" s="172"/>
      <c r="R146" s="388"/>
      <c r="S146" s="172"/>
      <c r="T146" s="172"/>
    </row>
    <row r="147" spans="3:20" s="158" customFormat="1" ht="15" customHeight="1">
      <c r="C147" s="325"/>
      <c r="D147" s="325"/>
      <c r="E147" s="387"/>
      <c r="F147" s="387"/>
      <c r="G147" s="325"/>
      <c r="H147" s="325"/>
      <c r="J147" s="172"/>
      <c r="R147" s="388"/>
      <c r="S147" s="172"/>
      <c r="T147" s="172"/>
    </row>
    <row r="148" spans="3:20" s="158" customFormat="1" ht="15" customHeight="1">
      <c r="C148" s="325"/>
      <c r="D148" s="325"/>
      <c r="E148" s="387"/>
      <c r="F148" s="387"/>
      <c r="G148" s="325"/>
      <c r="H148" s="325"/>
      <c r="J148" s="172"/>
      <c r="R148" s="388"/>
      <c r="S148" s="172"/>
      <c r="T148" s="172"/>
    </row>
    <row r="149" spans="3:20" s="158" customFormat="1" ht="15" customHeight="1">
      <c r="C149" s="325"/>
      <c r="D149" s="325"/>
      <c r="E149" s="387"/>
      <c r="F149" s="387"/>
      <c r="G149" s="325"/>
      <c r="H149" s="325"/>
      <c r="J149" s="172"/>
      <c r="R149" s="388"/>
      <c r="S149" s="172"/>
      <c r="T149" s="172"/>
    </row>
    <row r="150" spans="3:20" s="158" customFormat="1" ht="15" customHeight="1">
      <c r="C150" s="325"/>
      <c r="D150" s="325"/>
      <c r="E150" s="387"/>
      <c r="F150" s="387"/>
      <c r="G150" s="325"/>
      <c r="H150" s="325"/>
      <c r="J150" s="172"/>
      <c r="R150" s="388"/>
      <c r="S150" s="172"/>
      <c r="T150" s="172"/>
    </row>
    <row r="151" spans="3:20" s="158" customFormat="1" ht="15" customHeight="1">
      <c r="C151" s="325"/>
      <c r="D151" s="325"/>
      <c r="E151" s="387"/>
      <c r="F151" s="387"/>
      <c r="G151" s="325"/>
      <c r="H151" s="325"/>
      <c r="J151" s="172"/>
      <c r="R151" s="388"/>
      <c r="S151" s="172"/>
      <c r="T151" s="172"/>
    </row>
    <row r="152" spans="3:20" s="158" customFormat="1" ht="15" customHeight="1">
      <c r="C152" s="325"/>
      <c r="D152" s="325"/>
      <c r="E152" s="387"/>
      <c r="F152" s="387"/>
      <c r="G152" s="325"/>
      <c r="H152" s="325"/>
      <c r="J152" s="172"/>
      <c r="R152" s="388"/>
      <c r="S152" s="172"/>
      <c r="T152" s="172"/>
    </row>
    <row r="153" spans="3:20" s="158" customFormat="1" ht="15" customHeight="1">
      <c r="C153" s="325"/>
      <c r="D153" s="325"/>
      <c r="E153" s="387"/>
      <c r="F153" s="387"/>
      <c r="G153" s="325"/>
      <c r="H153" s="325"/>
      <c r="J153" s="172"/>
      <c r="R153" s="388"/>
      <c r="S153" s="172"/>
      <c r="T153" s="172"/>
    </row>
    <row r="154" spans="3:20" s="158" customFormat="1" ht="15" customHeight="1">
      <c r="C154" s="325"/>
      <c r="D154" s="325"/>
      <c r="E154" s="387"/>
      <c r="F154" s="387"/>
      <c r="G154" s="325"/>
      <c r="H154" s="325"/>
      <c r="J154" s="172"/>
      <c r="R154" s="388"/>
      <c r="S154" s="172"/>
      <c r="T154" s="172"/>
    </row>
    <row r="155" spans="3:20" s="158" customFormat="1" ht="15" customHeight="1">
      <c r="C155" s="325"/>
      <c r="D155" s="325"/>
      <c r="E155" s="387"/>
      <c r="F155" s="387"/>
      <c r="G155" s="325"/>
      <c r="H155" s="325"/>
      <c r="J155" s="172"/>
      <c r="R155" s="388"/>
      <c r="S155" s="172"/>
      <c r="T155" s="172"/>
    </row>
    <row r="156" spans="3:20" s="158" customFormat="1" ht="15" customHeight="1">
      <c r="C156" s="325"/>
      <c r="D156" s="325"/>
      <c r="E156" s="387"/>
      <c r="F156" s="387"/>
      <c r="G156" s="325"/>
      <c r="H156" s="325"/>
      <c r="J156" s="172"/>
      <c r="R156" s="388"/>
      <c r="S156" s="172"/>
      <c r="T156" s="172"/>
    </row>
    <row r="157" spans="3:20" s="158" customFormat="1" ht="15" customHeight="1">
      <c r="C157" s="325"/>
      <c r="D157" s="325"/>
      <c r="E157" s="387"/>
      <c r="F157" s="387"/>
      <c r="G157" s="325"/>
      <c r="H157" s="325"/>
      <c r="J157" s="172"/>
      <c r="R157" s="388"/>
      <c r="S157" s="172"/>
      <c r="T157" s="172"/>
    </row>
    <row r="158" spans="3:20" s="158" customFormat="1" ht="15" customHeight="1">
      <c r="C158" s="325"/>
      <c r="D158" s="325"/>
      <c r="E158" s="387"/>
      <c r="F158" s="387"/>
      <c r="G158" s="325"/>
      <c r="H158" s="325"/>
      <c r="J158" s="172"/>
      <c r="R158" s="388"/>
      <c r="S158" s="172"/>
      <c r="T158" s="172"/>
    </row>
    <row r="159" spans="3:20" s="158" customFormat="1" ht="15" customHeight="1">
      <c r="C159" s="325"/>
      <c r="D159" s="325"/>
      <c r="E159" s="387"/>
      <c r="F159" s="387"/>
      <c r="G159" s="325"/>
      <c r="H159" s="325"/>
      <c r="J159" s="172"/>
      <c r="R159" s="388"/>
      <c r="S159" s="172"/>
      <c r="T159" s="172"/>
    </row>
    <row r="160" spans="3:20" s="158" customFormat="1" ht="15" customHeight="1">
      <c r="C160" s="325"/>
      <c r="D160" s="325"/>
      <c r="E160" s="387"/>
      <c r="F160" s="387"/>
      <c r="G160" s="325"/>
      <c r="H160" s="325"/>
      <c r="J160" s="172"/>
      <c r="R160" s="388"/>
      <c r="S160" s="172"/>
      <c r="T160" s="172"/>
    </row>
    <row r="161" spans="3:20" s="158" customFormat="1" ht="15" customHeight="1">
      <c r="C161" s="325"/>
      <c r="D161" s="325"/>
      <c r="E161" s="387"/>
      <c r="F161" s="387"/>
      <c r="G161" s="325"/>
      <c r="H161" s="325"/>
      <c r="J161" s="172"/>
      <c r="R161" s="388"/>
      <c r="S161" s="172"/>
      <c r="T161" s="172"/>
    </row>
    <row r="162" spans="3:20" s="158" customFormat="1" ht="15" customHeight="1">
      <c r="C162" s="325"/>
      <c r="D162" s="325"/>
      <c r="E162" s="387"/>
      <c r="F162" s="387"/>
      <c r="G162" s="325"/>
      <c r="H162" s="325"/>
      <c r="J162" s="172"/>
      <c r="R162" s="388"/>
      <c r="S162" s="172"/>
      <c r="T162" s="172"/>
    </row>
    <row r="163" spans="3:20" s="158" customFormat="1" ht="15" customHeight="1">
      <c r="C163" s="325"/>
      <c r="D163" s="325"/>
      <c r="E163" s="387"/>
      <c r="F163" s="387"/>
      <c r="G163" s="325"/>
      <c r="H163" s="325"/>
      <c r="J163" s="172"/>
      <c r="R163" s="388"/>
      <c r="S163" s="172"/>
      <c r="T163" s="172"/>
    </row>
    <row r="164" spans="3:20" s="158" customFormat="1" ht="15" customHeight="1">
      <c r="C164" s="325"/>
      <c r="D164" s="325"/>
      <c r="E164" s="387"/>
      <c r="F164" s="387"/>
      <c r="G164" s="325"/>
      <c r="H164" s="325"/>
      <c r="J164" s="172"/>
      <c r="R164" s="388"/>
      <c r="S164" s="172"/>
      <c r="T164" s="172"/>
    </row>
    <row r="165" spans="3:20" s="158" customFormat="1" ht="15" customHeight="1">
      <c r="C165" s="325"/>
      <c r="D165" s="325"/>
      <c r="E165" s="387"/>
      <c r="F165" s="387"/>
      <c r="G165" s="325"/>
      <c r="H165" s="325"/>
      <c r="J165" s="172"/>
      <c r="R165" s="388"/>
      <c r="S165" s="172"/>
      <c r="T165" s="172"/>
    </row>
    <row r="166" spans="3:20" s="158" customFormat="1" ht="15" customHeight="1">
      <c r="C166" s="325"/>
      <c r="D166" s="325"/>
      <c r="E166" s="387"/>
      <c r="F166" s="387"/>
      <c r="G166" s="325"/>
      <c r="H166" s="325"/>
      <c r="J166" s="172"/>
      <c r="R166" s="388"/>
      <c r="S166" s="172"/>
      <c r="T166" s="172"/>
    </row>
    <row r="167" spans="3:20" s="158" customFormat="1" ht="15" customHeight="1">
      <c r="C167" s="325"/>
      <c r="D167" s="325"/>
      <c r="E167" s="387"/>
      <c r="F167" s="387"/>
      <c r="G167" s="325"/>
      <c r="H167" s="325"/>
      <c r="J167" s="172"/>
      <c r="R167" s="388"/>
      <c r="S167" s="172"/>
      <c r="T167" s="172"/>
    </row>
    <row r="168" spans="3:20" s="158" customFormat="1" ht="15" customHeight="1">
      <c r="C168" s="325"/>
      <c r="D168" s="325"/>
      <c r="E168" s="387"/>
      <c r="F168" s="387"/>
      <c r="G168" s="325"/>
      <c r="H168" s="325"/>
      <c r="J168" s="172"/>
      <c r="R168" s="388"/>
      <c r="S168" s="172"/>
      <c r="T168" s="172"/>
    </row>
    <row r="169" spans="3:20" s="158" customFormat="1" ht="15" customHeight="1">
      <c r="C169" s="325"/>
      <c r="D169" s="325"/>
      <c r="E169" s="387"/>
      <c r="F169" s="387"/>
      <c r="G169" s="325"/>
      <c r="H169" s="325"/>
      <c r="J169" s="172"/>
      <c r="R169" s="388"/>
      <c r="S169" s="172"/>
      <c r="T169" s="172"/>
    </row>
    <row r="170" spans="3:20" s="158" customFormat="1" ht="15" customHeight="1">
      <c r="C170" s="325"/>
      <c r="D170" s="325"/>
      <c r="E170" s="387"/>
      <c r="F170" s="387"/>
      <c r="G170" s="325"/>
      <c r="H170" s="325"/>
      <c r="J170" s="172"/>
      <c r="R170" s="388"/>
      <c r="S170" s="172"/>
      <c r="T170" s="172"/>
    </row>
    <row r="171" spans="3:20" s="158" customFormat="1" ht="15" customHeight="1">
      <c r="C171" s="325"/>
      <c r="D171" s="325"/>
      <c r="E171" s="387"/>
      <c r="F171" s="387"/>
      <c r="G171" s="325"/>
      <c r="H171" s="325"/>
      <c r="J171" s="172"/>
      <c r="R171" s="388"/>
      <c r="S171" s="172"/>
      <c r="T171" s="172"/>
    </row>
    <row r="172" spans="3:20" s="158" customFormat="1" ht="15" customHeight="1">
      <c r="C172" s="325"/>
      <c r="D172" s="325"/>
      <c r="E172" s="387"/>
      <c r="F172" s="387"/>
      <c r="G172" s="325"/>
      <c r="H172" s="325"/>
      <c r="J172" s="172"/>
      <c r="R172" s="388"/>
      <c r="S172" s="172"/>
      <c r="T172" s="172"/>
    </row>
    <row r="173" spans="3:20" s="158" customFormat="1" ht="15" customHeight="1">
      <c r="C173" s="325"/>
      <c r="D173" s="325"/>
      <c r="E173" s="387"/>
      <c r="F173" s="387"/>
      <c r="G173" s="325"/>
      <c r="H173" s="325"/>
      <c r="J173" s="172"/>
      <c r="R173" s="388"/>
      <c r="S173" s="172"/>
      <c r="T173" s="172"/>
    </row>
    <row r="174" spans="3:20" s="158" customFormat="1" ht="15" customHeight="1">
      <c r="C174" s="325"/>
      <c r="D174" s="325"/>
      <c r="E174" s="387"/>
      <c r="F174" s="387"/>
      <c r="G174" s="325"/>
      <c r="H174" s="325"/>
      <c r="J174" s="172"/>
      <c r="R174" s="388"/>
      <c r="S174" s="172"/>
      <c r="T174" s="172"/>
    </row>
    <row r="175" spans="3:20" s="158" customFormat="1" ht="15" customHeight="1">
      <c r="C175" s="325"/>
      <c r="D175" s="325"/>
      <c r="E175" s="387"/>
      <c r="F175" s="387"/>
      <c r="G175" s="325"/>
      <c r="H175" s="325"/>
      <c r="J175" s="172"/>
      <c r="R175" s="388"/>
      <c r="S175" s="172"/>
      <c r="T175" s="172"/>
    </row>
    <row r="176" spans="3:20" s="158" customFormat="1" ht="15" customHeight="1">
      <c r="C176" s="325"/>
      <c r="D176" s="325"/>
      <c r="E176" s="387"/>
      <c r="F176" s="387"/>
      <c r="G176" s="325"/>
      <c r="H176" s="325"/>
      <c r="J176" s="172"/>
      <c r="R176" s="388"/>
      <c r="S176" s="172"/>
      <c r="T176" s="172"/>
    </row>
    <row r="177" spans="3:20" s="158" customFormat="1" ht="15" customHeight="1">
      <c r="C177" s="325"/>
      <c r="D177" s="325"/>
      <c r="E177" s="387"/>
      <c r="F177" s="387"/>
      <c r="G177" s="325"/>
      <c r="H177" s="325"/>
      <c r="J177" s="172"/>
      <c r="R177" s="388"/>
      <c r="S177" s="172"/>
      <c r="T177" s="172"/>
    </row>
    <row r="178" spans="3:20" s="158" customFormat="1" ht="15" customHeight="1">
      <c r="C178" s="325"/>
      <c r="D178" s="325"/>
      <c r="E178" s="387"/>
      <c r="F178" s="387"/>
      <c r="G178" s="325"/>
      <c r="H178" s="325"/>
      <c r="J178" s="172"/>
      <c r="R178" s="388"/>
      <c r="S178" s="172"/>
      <c r="T178" s="172"/>
    </row>
    <row r="179" spans="3:20" s="158" customFormat="1" ht="15" customHeight="1">
      <c r="C179" s="325"/>
      <c r="D179" s="325"/>
      <c r="E179" s="387"/>
      <c r="F179" s="387"/>
      <c r="G179" s="325"/>
      <c r="H179" s="325"/>
      <c r="J179" s="172"/>
      <c r="R179" s="388"/>
      <c r="S179" s="172"/>
      <c r="T179" s="172"/>
    </row>
    <row r="180" spans="3:20" s="158" customFormat="1" ht="15" customHeight="1">
      <c r="C180" s="325"/>
      <c r="D180" s="325"/>
      <c r="E180" s="387"/>
      <c r="F180" s="387"/>
      <c r="G180" s="325"/>
      <c r="H180" s="325"/>
      <c r="J180" s="172"/>
      <c r="R180" s="388"/>
      <c r="S180" s="172"/>
      <c r="T180" s="172"/>
    </row>
    <row r="181" spans="3:20" s="158" customFormat="1" ht="15" customHeight="1">
      <c r="C181" s="325"/>
      <c r="D181" s="325"/>
      <c r="E181" s="387"/>
      <c r="F181" s="387"/>
      <c r="G181" s="325"/>
      <c r="H181" s="325"/>
      <c r="J181" s="172"/>
      <c r="R181" s="388"/>
      <c r="S181" s="172"/>
      <c r="T181" s="172"/>
    </row>
    <row r="182" spans="3:20" s="158" customFormat="1" ht="15" customHeight="1">
      <c r="C182" s="325"/>
      <c r="D182" s="325"/>
      <c r="E182" s="387"/>
      <c r="F182" s="387"/>
      <c r="G182" s="325"/>
      <c r="H182" s="325"/>
      <c r="J182" s="172"/>
      <c r="R182" s="388"/>
      <c r="S182" s="172"/>
      <c r="T182" s="172"/>
    </row>
    <row r="183" spans="3:20" s="158" customFormat="1" ht="15" customHeight="1">
      <c r="C183" s="325"/>
      <c r="D183" s="325"/>
      <c r="E183" s="387"/>
      <c r="F183" s="387"/>
      <c r="G183" s="325"/>
      <c r="H183" s="325"/>
      <c r="J183" s="172"/>
      <c r="R183" s="388"/>
      <c r="S183" s="172"/>
      <c r="T183" s="172"/>
    </row>
    <row r="184" spans="3:20" s="158" customFormat="1" ht="15" customHeight="1">
      <c r="C184" s="325"/>
      <c r="D184" s="325"/>
      <c r="E184" s="387"/>
      <c r="F184" s="387"/>
      <c r="G184" s="325"/>
      <c r="H184" s="325"/>
      <c r="J184" s="172"/>
      <c r="R184" s="388"/>
      <c r="S184" s="172"/>
      <c r="T184" s="172"/>
    </row>
    <row r="185" spans="3:20" s="158" customFormat="1" ht="15" customHeight="1">
      <c r="C185" s="325"/>
      <c r="D185" s="325"/>
      <c r="E185" s="387"/>
      <c r="F185" s="387"/>
      <c r="G185" s="325"/>
      <c r="H185" s="325"/>
      <c r="J185" s="172"/>
      <c r="R185" s="388"/>
      <c r="S185" s="172"/>
      <c r="T185" s="172"/>
    </row>
    <row r="186" spans="3:20" s="158" customFormat="1" ht="15" customHeight="1">
      <c r="C186" s="325"/>
      <c r="D186" s="325"/>
      <c r="E186" s="387"/>
      <c r="F186" s="387"/>
      <c r="G186" s="325"/>
      <c r="H186" s="325"/>
      <c r="J186" s="172"/>
      <c r="R186" s="388"/>
      <c r="S186" s="172"/>
      <c r="T186" s="172"/>
    </row>
    <row r="187" spans="3:20" s="158" customFormat="1" ht="15" customHeight="1">
      <c r="C187" s="325"/>
      <c r="D187" s="325"/>
      <c r="E187" s="387"/>
      <c r="F187" s="387"/>
      <c r="G187" s="325"/>
      <c r="H187" s="325"/>
      <c r="J187" s="172"/>
      <c r="R187" s="388"/>
      <c r="S187" s="172"/>
      <c r="T187" s="172"/>
    </row>
    <row r="188" spans="3:20" s="158" customFormat="1" ht="15" customHeight="1">
      <c r="C188" s="325"/>
      <c r="D188" s="325"/>
      <c r="E188" s="387"/>
      <c r="F188" s="387"/>
      <c r="G188" s="325"/>
      <c r="H188" s="325"/>
      <c r="J188" s="172"/>
      <c r="R188" s="388"/>
      <c r="S188" s="172"/>
      <c r="T188" s="172"/>
    </row>
    <row r="189" spans="3:20" s="158" customFormat="1" ht="15" customHeight="1">
      <c r="C189" s="325"/>
      <c r="D189" s="325"/>
      <c r="E189" s="387"/>
      <c r="F189" s="387"/>
      <c r="G189" s="325"/>
      <c r="H189" s="325"/>
      <c r="J189" s="172"/>
      <c r="R189" s="388"/>
      <c r="S189" s="172"/>
      <c r="T189" s="172"/>
    </row>
    <row r="190" spans="3:20" s="158" customFormat="1" ht="15" customHeight="1">
      <c r="C190" s="325"/>
      <c r="D190" s="325"/>
      <c r="E190" s="387"/>
      <c r="F190" s="387"/>
      <c r="G190" s="325"/>
      <c r="H190" s="325"/>
      <c r="J190" s="172"/>
      <c r="R190" s="388"/>
      <c r="S190" s="172"/>
      <c r="T190" s="172"/>
    </row>
    <row r="191" spans="3:20" s="158" customFormat="1" ht="15" customHeight="1">
      <c r="C191" s="325"/>
      <c r="D191" s="325"/>
      <c r="E191" s="387"/>
      <c r="F191" s="387"/>
      <c r="G191" s="325"/>
      <c r="H191" s="325"/>
      <c r="J191" s="172"/>
      <c r="R191" s="388"/>
      <c r="S191" s="172"/>
      <c r="T191" s="172"/>
    </row>
    <row r="192" spans="3:20" s="158" customFormat="1" ht="15" customHeight="1">
      <c r="C192" s="325"/>
      <c r="D192" s="325"/>
      <c r="E192" s="387"/>
      <c r="F192" s="387"/>
      <c r="G192" s="325"/>
      <c r="H192" s="325"/>
      <c r="J192" s="172"/>
      <c r="R192" s="388"/>
      <c r="S192" s="172"/>
      <c r="T192" s="172"/>
    </row>
    <row r="193" spans="3:20" s="158" customFormat="1" ht="15" customHeight="1">
      <c r="C193" s="325"/>
      <c r="D193" s="325"/>
      <c r="E193" s="387"/>
      <c r="F193" s="387"/>
      <c r="G193" s="325"/>
      <c r="H193" s="325"/>
      <c r="J193" s="172"/>
      <c r="R193" s="388"/>
      <c r="S193" s="172"/>
      <c r="T193" s="172"/>
    </row>
    <row r="194" spans="3:20" s="158" customFormat="1" ht="15" customHeight="1">
      <c r="C194" s="325"/>
      <c r="D194" s="325"/>
      <c r="E194" s="387"/>
      <c r="F194" s="387"/>
      <c r="G194" s="325"/>
      <c r="H194" s="325"/>
      <c r="J194" s="172"/>
      <c r="R194" s="388"/>
      <c r="S194" s="172"/>
      <c r="T194" s="172"/>
    </row>
    <row r="195" spans="3:20" s="158" customFormat="1" ht="15" customHeight="1">
      <c r="C195" s="325"/>
      <c r="D195" s="325"/>
      <c r="E195" s="387"/>
      <c r="F195" s="387"/>
      <c r="G195" s="325"/>
      <c r="H195" s="325"/>
      <c r="J195" s="172"/>
      <c r="R195" s="388"/>
      <c r="S195" s="172"/>
      <c r="T195" s="172"/>
    </row>
    <row r="196" spans="3:20" s="158" customFormat="1" ht="15" customHeight="1">
      <c r="C196" s="325"/>
      <c r="D196" s="325"/>
      <c r="E196" s="387"/>
      <c r="F196" s="387"/>
      <c r="G196" s="325"/>
      <c r="H196" s="325"/>
      <c r="J196" s="172"/>
      <c r="R196" s="388"/>
      <c r="S196" s="172"/>
      <c r="T196" s="172"/>
    </row>
    <row r="197" spans="3:20" s="158" customFormat="1" ht="15" customHeight="1">
      <c r="C197" s="325"/>
      <c r="D197" s="325"/>
      <c r="E197" s="387"/>
      <c r="F197" s="387"/>
      <c r="G197" s="325"/>
      <c r="H197" s="325"/>
      <c r="J197" s="172"/>
      <c r="R197" s="388"/>
      <c r="S197" s="172"/>
      <c r="T197" s="172"/>
    </row>
    <row r="198" spans="3:20" s="158" customFormat="1" ht="15" customHeight="1">
      <c r="C198" s="325"/>
      <c r="D198" s="325"/>
      <c r="E198" s="387"/>
      <c r="F198" s="387"/>
      <c r="G198" s="325"/>
      <c r="H198" s="325"/>
      <c r="J198" s="172"/>
      <c r="R198" s="388"/>
      <c r="S198" s="172"/>
      <c r="T198" s="172"/>
    </row>
    <row r="199" spans="3:20" s="158" customFormat="1" ht="15" customHeight="1">
      <c r="C199" s="325"/>
      <c r="D199" s="325"/>
      <c r="E199" s="387"/>
      <c r="F199" s="387"/>
      <c r="G199" s="325"/>
      <c r="H199" s="325"/>
      <c r="J199" s="172"/>
      <c r="R199" s="388"/>
      <c r="S199" s="172"/>
      <c r="T199" s="172"/>
    </row>
    <row r="200" spans="3:20" s="158" customFormat="1" ht="15" customHeight="1">
      <c r="C200" s="325"/>
      <c r="D200" s="325"/>
      <c r="E200" s="387"/>
      <c r="F200" s="387"/>
      <c r="G200" s="325"/>
      <c r="H200" s="325"/>
      <c r="J200" s="172"/>
      <c r="R200" s="388"/>
      <c r="S200" s="172"/>
      <c r="T200" s="172"/>
    </row>
    <row r="201" spans="3:20" s="158" customFormat="1" ht="15" customHeight="1">
      <c r="C201" s="325"/>
      <c r="D201" s="325"/>
      <c r="E201" s="387"/>
      <c r="F201" s="387"/>
      <c r="G201" s="325"/>
      <c r="H201" s="325"/>
      <c r="J201" s="172"/>
      <c r="R201" s="388"/>
      <c r="S201" s="172"/>
      <c r="T201" s="172"/>
    </row>
    <row r="202" spans="3:20" s="158" customFormat="1" ht="15" customHeight="1">
      <c r="C202" s="325"/>
      <c r="D202" s="325"/>
      <c r="E202" s="387"/>
      <c r="F202" s="387"/>
      <c r="G202" s="325"/>
      <c r="H202" s="325"/>
      <c r="J202" s="172"/>
      <c r="R202" s="388"/>
      <c r="S202" s="172"/>
      <c r="T202" s="172"/>
    </row>
    <row r="203" spans="3:20" s="158" customFormat="1" ht="15" customHeight="1">
      <c r="C203" s="325"/>
      <c r="D203" s="325"/>
      <c r="E203" s="387"/>
      <c r="F203" s="387"/>
      <c r="G203" s="325"/>
      <c r="H203" s="325"/>
      <c r="J203" s="172"/>
      <c r="R203" s="388"/>
      <c r="S203" s="172"/>
      <c r="T203" s="172"/>
    </row>
    <row r="204" spans="3:20" s="158" customFormat="1" ht="15" customHeight="1">
      <c r="C204" s="325"/>
      <c r="D204" s="325"/>
      <c r="E204" s="387"/>
      <c r="F204" s="387"/>
      <c r="G204" s="325"/>
      <c r="H204" s="325"/>
      <c r="J204" s="172"/>
      <c r="R204" s="388"/>
      <c r="S204" s="172"/>
      <c r="T204" s="172"/>
    </row>
    <row r="205" spans="3:20" s="158" customFormat="1" ht="15" customHeight="1">
      <c r="C205" s="325"/>
      <c r="D205" s="325"/>
      <c r="E205" s="387"/>
      <c r="F205" s="387"/>
      <c r="G205" s="325"/>
      <c r="H205" s="325"/>
      <c r="J205" s="172"/>
      <c r="R205" s="388"/>
      <c r="S205" s="172"/>
      <c r="T205" s="172"/>
    </row>
    <row r="206" spans="3:20" s="158" customFormat="1" ht="15" customHeight="1">
      <c r="C206" s="325"/>
      <c r="D206" s="325"/>
      <c r="E206" s="387"/>
      <c r="F206" s="387"/>
      <c r="G206" s="325"/>
      <c r="H206" s="325"/>
      <c r="J206" s="172"/>
      <c r="R206" s="388"/>
      <c r="S206" s="172"/>
      <c r="T206" s="172"/>
    </row>
    <row r="207" spans="3:20" s="158" customFormat="1" ht="15" customHeight="1">
      <c r="C207" s="325"/>
      <c r="D207" s="325"/>
      <c r="E207" s="387"/>
      <c r="F207" s="387"/>
      <c r="G207" s="325"/>
      <c r="H207" s="325"/>
      <c r="J207" s="172"/>
      <c r="R207" s="388"/>
      <c r="S207" s="172"/>
      <c r="T207" s="172"/>
    </row>
    <row r="208" spans="3:20" s="158" customFormat="1" ht="15" customHeight="1">
      <c r="C208" s="325"/>
      <c r="D208" s="325"/>
      <c r="E208" s="387"/>
      <c r="F208" s="387"/>
      <c r="G208" s="325"/>
      <c r="H208" s="325"/>
      <c r="J208" s="172"/>
      <c r="R208" s="388"/>
      <c r="S208" s="172"/>
      <c r="T208" s="172"/>
    </row>
    <row r="209" spans="3:20" s="158" customFormat="1" ht="15" customHeight="1">
      <c r="C209" s="325"/>
      <c r="D209" s="325"/>
      <c r="E209" s="387"/>
      <c r="F209" s="387"/>
      <c r="G209" s="325"/>
      <c r="H209" s="325"/>
      <c r="J209" s="172"/>
      <c r="R209" s="388"/>
      <c r="S209" s="172"/>
      <c r="T209" s="172"/>
    </row>
    <row r="210" spans="3:20" s="158" customFormat="1" ht="15" customHeight="1">
      <c r="C210" s="325"/>
      <c r="D210" s="325"/>
      <c r="E210" s="387"/>
      <c r="F210" s="387"/>
      <c r="G210" s="325"/>
      <c r="H210" s="325"/>
      <c r="J210" s="172"/>
      <c r="R210" s="388"/>
      <c r="S210" s="172"/>
      <c r="T210" s="172"/>
    </row>
    <row r="211" spans="3:20" s="158" customFormat="1" ht="15" customHeight="1">
      <c r="C211" s="325"/>
      <c r="D211" s="325"/>
      <c r="E211" s="387"/>
      <c r="F211" s="387"/>
      <c r="G211" s="325"/>
      <c r="H211" s="325"/>
      <c r="J211" s="172"/>
      <c r="R211" s="388"/>
      <c r="S211" s="172"/>
      <c r="T211" s="172"/>
    </row>
    <row r="212" spans="3:20" s="158" customFormat="1" ht="15" customHeight="1">
      <c r="C212" s="325"/>
      <c r="D212" s="325"/>
      <c r="E212" s="387"/>
      <c r="F212" s="387"/>
      <c r="G212" s="325"/>
      <c r="H212" s="325"/>
      <c r="J212" s="172"/>
      <c r="R212" s="388"/>
      <c r="S212" s="172"/>
      <c r="T212" s="172"/>
    </row>
    <row r="213" spans="3:20" s="158" customFormat="1" ht="15" customHeight="1">
      <c r="C213" s="325"/>
      <c r="D213" s="325"/>
      <c r="E213" s="387"/>
      <c r="F213" s="387"/>
      <c r="G213" s="325"/>
      <c r="H213" s="325"/>
      <c r="J213" s="172"/>
      <c r="R213" s="388"/>
      <c r="S213" s="172"/>
      <c r="T213" s="172"/>
    </row>
    <row r="214" spans="3:20" s="158" customFormat="1" ht="15" customHeight="1">
      <c r="C214" s="325"/>
      <c r="D214" s="325"/>
      <c r="E214" s="387"/>
      <c r="F214" s="387"/>
      <c r="G214" s="325"/>
      <c r="H214" s="325"/>
      <c r="J214" s="172"/>
      <c r="R214" s="388"/>
      <c r="S214" s="172"/>
      <c r="T214" s="172"/>
    </row>
    <row r="215" spans="3:20" s="158" customFormat="1" ht="15" customHeight="1">
      <c r="C215" s="325"/>
      <c r="D215" s="325"/>
      <c r="E215" s="387"/>
      <c r="F215" s="387"/>
      <c r="G215" s="325"/>
      <c r="H215" s="325"/>
      <c r="J215" s="172"/>
      <c r="R215" s="388"/>
      <c r="S215" s="172"/>
      <c r="T215" s="172"/>
    </row>
    <row r="216" spans="3:20" s="158" customFormat="1" ht="15" customHeight="1">
      <c r="C216" s="325"/>
      <c r="D216" s="325"/>
      <c r="E216" s="387"/>
      <c r="F216" s="387"/>
      <c r="G216" s="325"/>
      <c r="H216" s="325"/>
      <c r="J216" s="172"/>
      <c r="R216" s="388"/>
      <c r="S216" s="172"/>
      <c r="T216" s="172"/>
    </row>
    <row r="217" spans="3:20" s="158" customFormat="1" ht="15" customHeight="1">
      <c r="C217" s="325"/>
      <c r="D217" s="325"/>
      <c r="E217" s="387"/>
      <c r="F217" s="387"/>
      <c r="G217" s="325"/>
      <c r="H217" s="325"/>
      <c r="J217" s="172"/>
      <c r="R217" s="388"/>
      <c r="S217" s="172"/>
      <c r="T217" s="172"/>
    </row>
    <row r="218" spans="3:20" s="158" customFormat="1" ht="15" customHeight="1">
      <c r="C218" s="325"/>
      <c r="D218" s="325"/>
      <c r="E218" s="387"/>
      <c r="F218" s="387"/>
      <c r="G218" s="325"/>
      <c r="H218" s="325"/>
      <c r="J218" s="172"/>
      <c r="R218" s="388"/>
      <c r="S218" s="172"/>
      <c r="T218" s="172"/>
    </row>
    <row r="219" spans="3:20" s="158" customFormat="1" ht="15" customHeight="1">
      <c r="C219" s="325"/>
      <c r="D219" s="325"/>
      <c r="E219" s="387"/>
      <c r="F219" s="387"/>
      <c r="G219" s="325"/>
      <c r="H219" s="325"/>
      <c r="J219" s="172"/>
      <c r="R219" s="388"/>
      <c r="S219" s="172"/>
      <c r="T219" s="172"/>
    </row>
    <row r="220" spans="3:20" s="158" customFormat="1" ht="15" customHeight="1">
      <c r="C220" s="325"/>
      <c r="D220" s="325"/>
      <c r="E220" s="387"/>
      <c r="F220" s="387"/>
      <c r="G220" s="325"/>
      <c r="H220" s="325"/>
      <c r="J220" s="172"/>
      <c r="R220" s="388"/>
      <c r="S220" s="172"/>
      <c r="T220" s="172"/>
    </row>
    <row r="221" spans="3:20" s="158" customFormat="1" ht="15" customHeight="1">
      <c r="C221" s="325"/>
      <c r="D221" s="325"/>
      <c r="E221" s="387"/>
      <c r="F221" s="387"/>
      <c r="G221" s="325"/>
      <c r="H221" s="325"/>
      <c r="J221" s="172"/>
      <c r="R221" s="388"/>
      <c r="S221" s="172"/>
      <c r="T221" s="172"/>
    </row>
    <row r="222" spans="3:20" s="158" customFormat="1" ht="15" customHeight="1">
      <c r="C222" s="325"/>
      <c r="D222" s="325"/>
      <c r="E222" s="387"/>
      <c r="F222" s="387"/>
      <c r="G222" s="325"/>
      <c r="H222" s="325"/>
      <c r="J222" s="172"/>
      <c r="R222" s="388"/>
      <c r="S222" s="172"/>
      <c r="T222" s="172"/>
    </row>
    <row r="223" spans="3:20" s="158" customFormat="1" ht="15" customHeight="1">
      <c r="C223" s="325"/>
      <c r="D223" s="325"/>
      <c r="E223" s="387"/>
      <c r="F223" s="387"/>
      <c r="G223" s="325"/>
      <c r="H223" s="325"/>
      <c r="J223" s="172"/>
      <c r="R223" s="388"/>
      <c r="S223" s="172"/>
      <c r="T223" s="172"/>
    </row>
    <row r="224" spans="3:20" s="158" customFormat="1" ht="15" customHeight="1">
      <c r="C224" s="325"/>
      <c r="D224" s="325"/>
      <c r="E224" s="387"/>
      <c r="F224" s="387"/>
      <c r="G224" s="325"/>
      <c r="H224" s="325"/>
      <c r="J224" s="172"/>
      <c r="R224" s="388"/>
      <c r="S224" s="172"/>
      <c r="T224" s="172"/>
    </row>
  </sheetData>
  <mergeCells count="73">
    <mergeCell ref="G58:G59"/>
    <mergeCell ref="H58:H59"/>
    <mergeCell ref="G60:G61"/>
    <mergeCell ref="H60:H61"/>
    <mergeCell ref="L69:O69"/>
    <mergeCell ref="A55:A57"/>
    <mergeCell ref="B55:B57"/>
    <mergeCell ref="C55:C57"/>
    <mergeCell ref="G55:G57"/>
    <mergeCell ref="H55:H57"/>
    <mergeCell ref="E56:E57"/>
    <mergeCell ref="F56:F57"/>
    <mergeCell ref="A52:A54"/>
    <mergeCell ref="B52:B54"/>
    <mergeCell ref="C52:C54"/>
    <mergeCell ref="G52:G54"/>
    <mergeCell ref="H52:H54"/>
    <mergeCell ref="E53:E54"/>
    <mergeCell ref="F53:F54"/>
    <mergeCell ref="J43:Q43"/>
    <mergeCell ref="A22:A23"/>
    <mergeCell ref="B22:B23"/>
    <mergeCell ref="C22:C23"/>
    <mergeCell ref="G22:G23"/>
    <mergeCell ref="H22:H23"/>
    <mergeCell ref="A24:A26"/>
    <mergeCell ref="B24:B26"/>
    <mergeCell ref="C24:C26"/>
    <mergeCell ref="E25:E26"/>
    <mergeCell ref="F25:F26"/>
    <mergeCell ref="A27:A29"/>
    <mergeCell ref="B27:B29"/>
    <mergeCell ref="C27:C29"/>
    <mergeCell ref="G27:G28"/>
    <mergeCell ref="H27:H28"/>
    <mergeCell ref="H16:H19"/>
    <mergeCell ref="A20:A21"/>
    <mergeCell ref="B20:B21"/>
    <mergeCell ref="C20:C21"/>
    <mergeCell ref="G20:G21"/>
    <mergeCell ref="H20:H21"/>
    <mergeCell ref="A16:A19"/>
    <mergeCell ref="B16:B19"/>
    <mergeCell ref="C16:C19"/>
    <mergeCell ref="E16:E18"/>
    <mergeCell ref="F16:F18"/>
    <mergeCell ref="G16:G19"/>
    <mergeCell ref="G8:G9"/>
    <mergeCell ref="H8:H9"/>
    <mergeCell ref="C12:C13"/>
    <mergeCell ref="G12:G13"/>
    <mergeCell ref="H12:H13"/>
    <mergeCell ref="A14:A15"/>
    <mergeCell ref="B14:B15"/>
    <mergeCell ref="C14:C15"/>
    <mergeCell ref="G14:G15"/>
    <mergeCell ref="H14:H15"/>
    <mergeCell ref="A4:A5"/>
    <mergeCell ref="B4:B5"/>
    <mergeCell ref="C4:C5"/>
    <mergeCell ref="G4:G5"/>
    <mergeCell ref="H4:H5"/>
    <mergeCell ref="A6:A7"/>
    <mergeCell ref="B6:B7"/>
    <mergeCell ref="C6:C7"/>
    <mergeCell ref="G6:G7"/>
    <mergeCell ref="H6:H7"/>
    <mergeCell ref="I2:R3"/>
    <mergeCell ref="A2:A3"/>
    <mergeCell ref="B2:B3"/>
    <mergeCell ref="C2:C3"/>
    <mergeCell ref="D2:D3"/>
    <mergeCell ref="G2:H2"/>
  </mergeCells>
  <phoneticPr fontId="15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40" fitToWidth="0" orientation="landscape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1371"/>
  <sheetViews>
    <sheetView tabSelected="1" view="pageBreakPreview" topLeftCell="A296" zoomScaleNormal="115" zoomScaleSheetLayoutView="100" workbookViewId="0">
      <selection activeCell="I136" sqref="I136"/>
    </sheetView>
  </sheetViews>
  <sheetFormatPr defaultRowHeight="15" customHeight="1"/>
  <cols>
    <col min="1" max="1" width="6.33203125" style="327" customWidth="1"/>
    <col min="2" max="2" width="7" style="327" customWidth="1"/>
    <col min="3" max="3" width="8.109375" style="328" customWidth="1"/>
    <col min="4" max="4" width="10.33203125" style="328" customWidth="1"/>
    <col min="5" max="6" width="9.6640625" style="329" customWidth="1"/>
    <col min="7" max="7" width="9.5546875" style="324" customWidth="1"/>
    <col min="8" max="8" width="8.44140625" style="324" customWidth="1"/>
    <col min="9" max="9" width="18.5546875" style="66" customWidth="1"/>
    <col min="10" max="10" width="10.109375" style="65" customWidth="1"/>
    <col min="11" max="11" width="1.5546875" style="66" customWidth="1"/>
    <col min="12" max="12" width="5.77734375" style="66" customWidth="1"/>
    <col min="13" max="13" width="2.88671875" style="66" customWidth="1"/>
    <col min="14" max="14" width="3.44140625" style="66" customWidth="1"/>
    <col min="15" max="15" width="5.33203125" style="66" bestFit="1" customWidth="1"/>
    <col min="16" max="16" width="3" style="66" customWidth="1"/>
    <col min="17" max="17" width="1.77734375" style="66" customWidth="1"/>
    <col min="18" max="18" width="11.5546875" style="330" customWidth="1"/>
    <col min="19" max="19" width="13.88671875" style="65" customWidth="1"/>
    <col min="20" max="20" width="13" style="65" customWidth="1"/>
    <col min="21" max="16384" width="8.88671875" style="66"/>
  </cols>
  <sheetData>
    <row r="1" spans="1:20" s="8" customFormat="1" ht="15" customHeight="1">
      <c r="A1" s="1" t="s">
        <v>0</v>
      </c>
      <c r="B1" s="1"/>
      <c r="C1" s="2" t="s">
        <v>1</v>
      </c>
      <c r="D1" s="2"/>
      <c r="E1" s="3"/>
      <c r="F1" s="3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6" t="s">
        <v>2</v>
      </c>
      <c r="S1" s="7"/>
      <c r="T1" s="7"/>
    </row>
    <row r="2" spans="1:20" s="11" customFormat="1" ht="17.25" customHeight="1">
      <c r="A2" s="882" t="s">
        <v>3</v>
      </c>
      <c r="B2" s="882" t="s">
        <v>4</v>
      </c>
      <c r="C2" s="882" t="s">
        <v>5</v>
      </c>
      <c r="D2" s="882" t="s">
        <v>6</v>
      </c>
      <c r="E2" s="9" t="s">
        <v>1245</v>
      </c>
      <c r="F2" s="9" t="s">
        <v>1036</v>
      </c>
      <c r="G2" s="884" t="s">
        <v>7</v>
      </c>
      <c r="H2" s="885"/>
      <c r="I2" s="876" t="s">
        <v>8</v>
      </c>
      <c r="J2" s="877"/>
      <c r="K2" s="877"/>
      <c r="L2" s="877"/>
      <c r="M2" s="877"/>
      <c r="N2" s="877"/>
      <c r="O2" s="877"/>
      <c r="P2" s="877"/>
      <c r="Q2" s="877"/>
      <c r="R2" s="878"/>
      <c r="S2" s="10"/>
      <c r="T2" s="10"/>
    </row>
    <row r="3" spans="1:20" s="11" customFormat="1" ht="20.25" customHeight="1">
      <c r="A3" s="883"/>
      <c r="B3" s="883"/>
      <c r="C3" s="883"/>
      <c r="D3" s="883"/>
      <c r="E3" s="12" t="s">
        <v>1035</v>
      </c>
      <c r="F3" s="12" t="s">
        <v>1037</v>
      </c>
      <c r="G3" s="13" t="s">
        <v>9</v>
      </c>
      <c r="H3" s="13" t="s">
        <v>10</v>
      </c>
      <c r="I3" s="879"/>
      <c r="J3" s="880"/>
      <c r="K3" s="880"/>
      <c r="L3" s="880"/>
      <c r="M3" s="880"/>
      <c r="N3" s="880"/>
      <c r="O3" s="880"/>
      <c r="P3" s="880"/>
      <c r="Q3" s="880"/>
      <c r="R3" s="881"/>
      <c r="S3" s="10"/>
      <c r="T3" s="10"/>
    </row>
    <row r="4" spans="1:20" s="11" customFormat="1" ht="15.75" customHeight="1">
      <c r="A4" s="895" t="s">
        <v>11</v>
      </c>
      <c r="B4" s="882"/>
      <c r="C4" s="895" t="s">
        <v>1</v>
      </c>
      <c r="D4" s="486"/>
      <c r="E4" s="503">
        <f>SUM(E6,E251,E270,E1187,E1189)</f>
        <v>2007805</v>
      </c>
      <c r="F4" s="503">
        <f>SUM(F6,F251,F270,F1187,F1189)</f>
        <v>2132155</v>
      </c>
      <c r="G4" s="908">
        <f>F4+F5-E4-E5</f>
        <v>-3241423.9701333335</v>
      </c>
      <c r="H4" s="910">
        <f>G4/(E4+E5)</f>
        <v>-0.47795134618870511</v>
      </c>
      <c r="I4" s="14"/>
      <c r="J4" s="14"/>
      <c r="K4" s="14"/>
      <c r="L4" s="14"/>
      <c r="M4" s="14"/>
      <c r="N4" s="14"/>
      <c r="O4" s="14"/>
      <c r="P4" s="14"/>
      <c r="Q4" s="14"/>
      <c r="R4" s="15"/>
      <c r="S4" s="10"/>
      <c r="T4" s="10"/>
    </row>
    <row r="5" spans="1:20" s="8" customFormat="1" ht="14.25" customHeight="1">
      <c r="A5" s="887"/>
      <c r="B5" s="883"/>
      <c r="C5" s="887"/>
      <c r="D5" s="488"/>
      <c r="E5" s="503">
        <f>SUM(E7,E252,E271,E1188,E1191)</f>
        <v>4774107</v>
      </c>
      <c r="F5" s="503">
        <f>SUM(F7,F252,F271,F1188,F1191)</f>
        <v>1408333.0298666668</v>
      </c>
      <c r="G5" s="914"/>
      <c r="H5" s="915"/>
      <c r="I5" s="16"/>
      <c r="J5" s="17"/>
      <c r="K5" s="18"/>
      <c r="L5" s="18"/>
      <c r="M5" s="18"/>
      <c r="N5" s="18"/>
      <c r="O5" s="18"/>
      <c r="P5" s="18"/>
      <c r="Q5" s="18"/>
      <c r="R5" s="19"/>
      <c r="S5" s="7">
        <f>SUM(S7,S252,S271,S1188,S1191)</f>
        <v>2132155000</v>
      </c>
      <c r="T5" s="7">
        <f>SUM(T7,T252,T271,T1188,T1191)</f>
        <v>1408333029.8666666</v>
      </c>
    </row>
    <row r="6" spans="1:20" s="8" customFormat="1" ht="15.75" customHeight="1">
      <c r="A6" s="895" t="s">
        <v>12</v>
      </c>
      <c r="B6" s="895"/>
      <c r="C6" s="895"/>
      <c r="D6" s="486"/>
      <c r="E6" s="503">
        <f>E8+E161+E169</f>
        <v>1786570</v>
      </c>
      <c r="F6" s="503">
        <f>F8+F161+F169</f>
        <v>1805312.7500000002</v>
      </c>
      <c r="G6" s="908">
        <f>F6+F7-E6-E7</f>
        <v>29670.940000000177</v>
      </c>
      <c r="H6" s="910">
        <f>G6/(E6+E7)</f>
        <v>1.4568237534780835E-2</v>
      </c>
      <c r="I6" s="20"/>
      <c r="J6" s="21"/>
      <c r="K6" s="20"/>
      <c r="L6" s="20"/>
      <c r="M6" s="20"/>
      <c r="N6" s="20"/>
      <c r="O6" s="20"/>
      <c r="P6" s="20"/>
      <c r="Q6" s="20"/>
      <c r="R6" s="22"/>
      <c r="S6" s="7"/>
      <c r="T6" s="7"/>
    </row>
    <row r="7" spans="1:20" s="8" customFormat="1" ht="15.75" customHeight="1">
      <c r="A7" s="887"/>
      <c r="B7" s="887"/>
      <c r="C7" s="887"/>
      <c r="D7" s="488"/>
      <c r="E7" s="503">
        <f>E9+E162+E170</f>
        <v>250117</v>
      </c>
      <c r="F7" s="503">
        <f>F9+F162+F170</f>
        <v>261045.19</v>
      </c>
      <c r="G7" s="914"/>
      <c r="H7" s="915"/>
      <c r="I7" s="18"/>
      <c r="J7" s="17"/>
      <c r="K7" s="18"/>
      <c r="L7" s="18"/>
      <c r="M7" s="18"/>
      <c r="N7" s="18"/>
      <c r="O7" s="18"/>
      <c r="P7" s="18"/>
      <c r="Q7" s="18"/>
      <c r="R7" s="19"/>
      <c r="S7" s="7">
        <f>SUM(S9,S162,S170)</f>
        <v>1805312750</v>
      </c>
      <c r="T7" s="7">
        <f>SUM(T9,T162,T170)</f>
        <v>261045190</v>
      </c>
    </row>
    <row r="8" spans="1:20" s="8" customFormat="1" ht="15" customHeight="1">
      <c r="A8" s="486"/>
      <c r="B8" s="895" t="s">
        <v>13</v>
      </c>
      <c r="C8" s="487"/>
      <c r="D8" s="487"/>
      <c r="E8" s="503">
        <f>E10+E98+E131+E138+E154+1</f>
        <v>1683815</v>
      </c>
      <c r="F8" s="503">
        <f>F10+F98+F131+F138+F154</f>
        <v>1704442.0000000002</v>
      </c>
      <c r="G8" s="908">
        <f>F8+F9-E8-E9</f>
        <v>37114.980000000214</v>
      </c>
      <c r="H8" s="910">
        <f>G8/(E8+E9)</f>
        <v>1.9939807161572544E-2</v>
      </c>
      <c r="I8" s="20"/>
      <c r="J8" s="21"/>
      <c r="K8" s="20"/>
      <c r="L8" s="20"/>
      <c r="M8" s="20"/>
      <c r="N8" s="20"/>
      <c r="O8" s="20"/>
      <c r="P8" s="20"/>
      <c r="Q8" s="20"/>
      <c r="R8" s="22"/>
      <c r="S8" s="7"/>
      <c r="T8" s="7"/>
    </row>
    <row r="9" spans="1:20" s="8" customFormat="1" ht="15" customHeight="1">
      <c r="A9" s="23" t="s">
        <v>1</v>
      </c>
      <c r="B9" s="887"/>
      <c r="C9" s="495"/>
      <c r="D9" s="495"/>
      <c r="E9" s="503">
        <f>E11+E100+E134+E141+E157</f>
        <v>177536</v>
      </c>
      <c r="F9" s="503">
        <f>SUM(F11,F100,F134,F141,F157)</f>
        <v>194023.98</v>
      </c>
      <c r="G9" s="914"/>
      <c r="H9" s="915"/>
      <c r="I9" s="18"/>
      <c r="J9" s="17"/>
      <c r="K9" s="18"/>
      <c r="L9" s="18"/>
      <c r="M9" s="18"/>
      <c r="N9" s="18"/>
      <c r="O9" s="18"/>
      <c r="P9" s="18"/>
      <c r="Q9" s="18"/>
      <c r="R9" s="25"/>
      <c r="S9" s="7">
        <f>SUM(S97,S130,S137,S153,S160)</f>
        <v>1704442000</v>
      </c>
      <c r="T9" s="7">
        <f>SUM(T97,T130,T137,T153,T160)</f>
        <v>194023980</v>
      </c>
    </row>
    <row r="10" spans="1:20" s="8" customFormat="1" ht="15" customHeight="1">
      <c r="A10" s="23"/>
      <c r="B10" s="23"/>
      <c r="C10" s="895" t="s">
        <v>14</v>
      </c>
      <c r="D10" s="486"/>
      <c r="E10" s="503">
        <v>1212239</v>
      </c>
      <c r="F10" s="26">
        <f>S97/1000</f>
        <v>1252469.83</v>
      </c>
      <c r="G10" s="908">
        <f>F10+F11-E10-E11</f>
        <v>21556.830000000075</v>
      </c>
      <c r="H10" s="910">
        <f>G10/(E10+E11)</f>
        <v>1.7433720285126974E-2</v>
      </c>
      <c r="I10" s="450" t="s">
        <v>649</v>
      </c>
      <c r="J10" s="113"/>
      <c r="K10" s="451"/>
      <c r="L10" s="451"/>
      <c r="M10" s="112"/>
      <c r="N10" s="451"/>
      <c r="O10" s="118"/>
      <c r="P10" s="112"/>
      <c r="Q10" s="451" t="s">
        <v>18</v>
      </c>
      <c r="R10" s="114">
        <f>S94</f>
        <v>1252469830</v>
      </c>
      <c r="S10" s="7"/>
      <c r="T10" s="7"/>
    </row>
    <row r="11" spans="1:20" s="8" customFormat="1" ht="15" customHeight="1">
      <c r="A11" s="23"/>
      <c r="B11" s="23"/>
      <c r="C11" s="901"/>
      <c r="D11" s="487"/>
      <c r="E11" s="30">
        <v>24263</v>
      </c>
      <c r="F11" s="30">
        <f>T97/1000</f>
        <v>5589</v>
      </c>
      <c r="G11" s="909"/>
      <c r="H11" s="911"/>
      <c r="I11" s="31"/>
      <c r="J11" s="21"/>
      <c r="K11" s="27"/>
      <c r="L11" s="27"/>
      <c r="M11" s="20"/>
      <c r="N11" s="27"/>
      <c r="O11" s="20"/>
      <c r="P11" s="20"/>
      <c r="Q11" s="27"/>
      <c r="R11" s="29"/>
      <c r="S11" s="7"/>
      <c r="T11" s="7"/>
    </row>
    <row r="12" spans="1:20" s="8" customFormat="1" ht="15" customHeight="1">
      <c r="A12" s="23"/>
      <c r="B12" s="23"/>
      <c r="C12" s="487"/>
      <c r="D12" s="487"/>
      <c r="E12" s="504"/>
      <c r="F12" s="504"/>
      <c r="G12" s="478"/>
      <c r="H12" s="491"/>
      <c r="I12" s="31" t="s">
        <v>1248</v>
      </c>
      <c r="J12" s="21">
        <v>4425000</v>
      </c>
      <c r="K12" s="27" t="s">
        <v>15</v>
      </c>
      <c r="L12" s="27">
        <v>1</v>
      </c>
      <c r="M12" s="20" t="s">
        <v>16</v>
      </c>
      <c r="N12" s="27" t="s">
        <v>15</v>
      </c>
      <c r="O12" s="20">
        <v>8</v>
      </c>
      <c r="P12" s="20" t="s">
        <v>17</v>
      </c>
      <c r="Q12" s="27" t="s">
        <v>18</v>
      </c>
      <c r="R12" s="29">
        <f t="shared" ref="R12:R77" si="0">J12*L12*O12</f>
        <v>35400000</v>
      </c>
      <c r="S12" s="7"/>
      <c r="T12" s="7"/>
    </row>
    <row r="13" spans="1:20" s="8" customFormat="1" ht="15" customHeight="1">
      <c r="A13" s="23"/>
      <c r="B13" s="23"/>
      <c r="C13" s="487"/>
      <c r="D13" s="487"/>
      <c r="E13" s="504"/>
      <c r="F13" s="504"/>
      <c r="G13" s="478"/>
      <c r="H13" s="491"/>
      <c r="I13" s="31"/>
      <c r="J13" s="21">
        <v>4479000</v>
      </c>
      <c r="K13" s="27" t="s">
        <v>15</v>
      </c>
      <c r="L13" s="27">
        <v>1</v>
      </c>
      <c r="M13" s="20" t="s">
        <v>16</v>
      </c>
      <c r="N13" s="27" t="s">
        <v>15</v>
      </c>
      <c r="O13" s="20">
        <v>4</v>
      </c>
      <c r="P13" s="20" t="s">
        <v>17</v>
      </c>
      <c r="Q13" s="27" t="s">
        <v>18</v>
      </c>
      <c r="R13" s="29">
        <f t="shared" si="0"/>
        <v>17916000</v>
      </c>
      <c r="S13" s="7"/>
      <c r="T13" s="7"/>
    </row>
    <row r="14" spans="1:20" s="8" customFormat="1" ht="15" customHeight="1">
      <c r="A14" s="23"/>
      <c r="B14" s="23"/>
      <c r="C14" s="32"/>
      <c r="D14" s="32"/>
      <c r="E14" s="33"/>
      <c r="F14" s="33"/>
      <c r="G14" s="34"/>
      <c r="H14" s="487"/>
      <c r="I14" s="31" t="s">
        <v>1249</v>
      </c>
      <c r="J14" s="21">
        <v>3717000</v>
      </c>
      <c r="K14" s="27" t="s">
        <v>15</v>
      </c>
      <c r="L14" s="27">
        <v>1</v>
      </c>
      <c r="M14" s="20" t="s">
        <v>16</v>
      </c>
      <c r="N14" s="27" t="s">
        <v>15</v>
      </c>
      <c r="O14" s="20">
        <v>1</v>
      </c>
      <c r="P14" s="20" t="s">
        <v>17</v>
      </c>
      <c r="Q14" s="27" t="s">
        <v>18</v>
      </c>
      <c r="R14" s="29">
        <f t="shared" si="0"/>
        <v>3717000</v>
      </c>
      <c r="S14" s="7"/>
      <c r="T14" s="7"/>
    </row>
    <row r="15" spans="1:20" s="8" customFormat="1" ht="15" customHeight="1">
      <c r="A15" s="23"/>
      <c r="B15" s="23"/>
      <c r="C15" s="32"/>
      <c r="D15" s="32"/>
      <c r="E15" s="33"/>
      <c r="F15" s="33"/>
      <c r="G15" s="487"/>
      <c r="H15" s="487"/>
      <c r="I15" s="31"/>
      <c r="J15" s="21">
        <v>3772000</v>
      </c>
      <c r="K15" s="27" t="s">
        <v>15</v>
      </c>
      <c r="L15" s="27">
        <v>1</v>
      </c>
      <c r="M15" s="20" t="s">
        <v>16</v>
      </c>
      <c r="N15" s="27" t="s">
        <v>15</v>
      </c>
      <c r="O15" s="20">
        <v>11</v>
      </c>
      <c r="P15" s="20" t="s">
        <v>17</v>
      </c>
      <c r="Q15" s="27" t="s">
        <v>18</v>
      </c>
      <c r="R15" s="29">
        <f t="shared" si="0"/>
        <v>41492000</v>
      </c>
      <c r="S15" s="7"/>
      <c r="T15" s="7"/>
    </row>
    <row r="16" spans="1:20" s="8" customFormat="1" ht="15" customHeight="1">
      <c r="A16" s="23"/>
      <c r="B16" s="23"/>
      <c r="C16" s="32"/>
      <c r="D16" s="32"/>
      <c r="E16" s="33"/>
      <c r="F16" s="33"/>
      <c r="G16" s="487"/>
      <c r="H16" s="487"/>
      <c r="I16" s="31" t="s">
        <v>1247</v>
      </c>
      <c r="J16" s="21">
        <v>3868000</v>
      </c>
      <c r="K16" s="27" t="s">
        <v>15</v>
      </c>
      <c r="L16" s="27">
        <v>1</v>
      </c>
      <c r="M16" s="20" t="s">
        <v>16</v>
      </c>
      <c r="N16" s="27" t="s">
        <v>15</v>
      </c>
      <c r="O16" s="20">
        <v>8</v>
      </c>
      <c r="P16" s="20" t="s">
        <v>17</v>
      </c>
      <c r="Q16" s="27" t="s">
        <v>18</v>
      </c>
      <c r="R16" s="29">
        <f t="shared" si="0"/>
        <v>30944000</v>
      </c>
      <c r="S16" s="7"/>
      <c r="T16" s="7"/>
    </row>
    <row r="17" spans="1:20" s="8" customFormat="1" ht="15" customHeight="1">
      <c r="A17" s="23"/>
      <c r="B17" s="23"/>
      <c r="C17" s="32"/>
      <c r="D17" s="32"/>
      <c r="E17" s="479"/>
      <c r="F17" s="33"/>
      <c r="G17" s="487"/>
      <c r="H17" s="487"/>
      <c r="I17" s="31"/>
      <c r="J17" s="21">
        <v>3921000</v>
      </c>
      <c r="K17" s="27" t="s">
        <v>15</v>
      </c>
      <c r="L17" s="27">
        <v>1</v>
      </c>
      <c r="M17" s="20" t="s">
        <v>16</v>
      </c>
      <c r="N17" s="27" t="s">
        <v>15</v>
      </c>
      <c r="O17" s="20">
        <v>4</v>
      </c>
      <c r="P17" s="20" t="s">
        <v>17</v>
      </c>
      <c r="Q17" s="27" t="s">
        <v>18</v>
      </c>
      <c r="R17" s="29">
        <f t="shared" si="0"/>
        <v>15684000</v>
      </c>
      <c r="S17" s="7"/>
      <c r="T17" s="7"/>
    </row>
    <row r="18" spans="1:20" s="8" customFormat="1" ht="15" customHeight="1">
      <c r="A18" s="23"/>
      <c r="B18" s="23"/>
      <c r="C18" s="32"/>
      <c r="D18" s="32"/>
      <c r="E18" s="33"/>
      <c r="F18" s="33"/>
      <c r="G18" s="487"/>
      <c r="H18" s="487"/>
      <c r="I18" s="31" t="s">
        <v>1251</v>
      </c>
      <c r="J18" s="21">
        <v>3762000</v>
      </c>
      <c r="K18" s="27" t="s">
        <v>15</v>
      </c>
      <c r="L18" s="27">
        <v>1</v>
      </c>
      <c r="M18" s="20" t="s">
        <v>16</v>
      </c>
      <c r="N18" s="27" t="s">
        <v>15</v>
      </c>
      <c r="O18" s="20">
        <v>4</v>
      </c>
      <c r="P18" s="20" t="s">
        <v>17</v>
      </c>
      <c r="Q18" s="27" t="s">
        <v>18</v>
      </c>
      <c r="R18" s="29">
        <f t="shared" si="0"/>
        <v>15048000</v>
      </c>
      <c r="S18" s="7"/>
      <c r="T18" s="7"/>
    </row>
    <row r="19" spans="1:20" s="8" customFormat="1" ht="15" customHeight="1">
      <c r="A19" s="23"/>
      <c r="B19" s="23"/>
      <c r="C19" s="32"/>
      <c r="D19" s="32"/>
      <c r="E19" s="33"/>
      <c r="F19" s="33"/>
      <c r="G19" s="487"/>
      <c r="H19" s="487"/>
      <c r="I19" s="31"/>
      <c r="J19" s="21">
        <v>3812000</v>
      </c>
      <c r="K19" s="27" t="s">
        <v>15</v>
      </c>
      <c r="L19" s="27">
        <v>1</v>
      </c>
      <c r="M19" s="20" t="s">
        <v>16</v>
      </c>
      <c r="N19" s="27" t="s">
        <v>15</v>
      </c>
      <c r="O19" s="20">
        <v>8</v>
      </c>
      <c r="P19" s="20" t="s">
        <v>17</v>
      </c>
      <c r="Q19" s="27" t="s">
        <v>18</v>
      </c>
      <c r="R19" s="29">
        <f t="shared" si="0"/>
        <v>30496000</v>
      </c>
      <c r="S19" s="7"/>
      <c r="T19" s="7"/>
    </row>
    <row r="20" spans="1:20" s="8" customFormat="1" ht="15" customHeight="1">
      <c r="A20" s="23"/>
      <c r="B20" s="23"/>
      <c r="C20" s="32"/>
      <c r="D20" s="32"/>
      <c r="E20" s="33"/>
      <c r="F20" s="33"/>
      <c r="G20" s="487"/>
      <c r="H20" s="487"/>
      <c r="I20" s="31" t="s">
        <v>1250</v>
      </c>
      <c r="J20" s="21">
        <v>3503000</v>
      </c>
      <c r="K20" s="27" t="s">
        <v>15</v>
      </c>
      <c r="L20" s="27">
        <v>1</v>
      </c>
      <c r="M20" s="20" t="s">
        <v>16</v>
      </c>
      <c r="N20" s="27" t="s">
        <v>15</v>
      </c>
      <c r="O20" s="20">
        <v>1</v>
      </c>
      <c r="P20" s="20" t="s">
        <v>17</v>
      </c>
      <c r="Q20" s="27" t="s">
        <v>18</v>
      </c>
      <c r="R20" s="29">
        <f t="shared" si="0"/>
        <v>3503000</v>
      </c>
      <c r="S20" s="7"/>
      <c r="T20" s="7"/>
    </row>
    <row r="21" spans="1:20" s="8" customFormat="1" ht="15" customHeight="1">
      <c r="A21" s="23"/>
      <c r="B21" s="23"/>
      <c r="C21" s="32"/>
      <c r="D21" s="32"/>
      <c r="E21" s="33"/>
      <c r="F21" s="33"/>
      <c r="G21" s="487"/>
      <c r="H21" s="487"/>
      <c r="I21" s="31"/>
      <c r="J21" s="21">
        <v>3559000</v>
      </c>
      <c r="K21" s="27" t="s">
        <v>15</v>
      </c>
      <c r="L21" s="27">
        <v>1</v>
      </c>
      <c r="M21" s="20" t="s">
        <v>16</v>
      </c>
      <c r="N21" s="27" t="s">
        <v>15</v>
      </c>
      <c r="O21" s="20">
        <v>11</v>
      </c>
      <c r="P21" s="20" t="s">
        <v>17</v>
      </c>
      <c r="Q21" s="27" t="s">
        <v>18</v>
      </c>
      <c r="R21" s="29">
        <f t="shared" si="0"/>
        <v>39149000</v>
      </c>
      <c r="S21" s="7"/>
      <c r="T21" s="7"/>
    </row>
    <row r="22" spans="1:20" s="8" customFormat="1" ht="15" customHeight="1">
      <c r="A22" s="23"/>
      <c r="B22" s="23"/>
      <c r="C22" s="32"/>
      <c r="D22" s="32"/>
      <c r="E22" s="33"/>
      <c r="F22" s="33"/>
      <c r="G22" s="704"/>
      <c r="H22" s="704"/>
      <c r="I22" s="31" t="s">
        <v>1252</v>
      </c>
      <c r="J22" s="21">
        <v>3603000</v>
      </c>
      <c r="K22" s="27" t="s">
        <v>15</v>
      </c>
      <c r="L22" s="27">
        <v>1</v>
      </c>
      <c r="M22" s="20" t="s">
        <v>16</v>
      </c>
      <c r="N22" s="27" t="s">
        <v>15</v>
      </c>
      <c r="O22" s="20">
        <v>8</v>
      </c>
      <c r="P22" s="20" t="s">
        <v>17</v>
      </c>
      <c r="Q22" s="27" t="s">
        <v>18</v>
      </c>
      <c r="R22" s="29">
        <f>J22*L22*O22</f>
        <v>28824000</v>
      </c>
      <c r="S22" s="7"/>
      <c r="T22" s="7"/>
    </row>
    <row r="23" spans="1:20" s="8" customFormat="1" ht="15" customHeight="1">
      <c r="A23" s="23"/>
      <c r="B23" s="23"/>
      <c r="C23" s="32"/>
      <c r="D23" s="32"/>
      <c r="E23" s="33"/>
      <c r="F23" s="33"/>
      <c r="G23" s="704"/>
      <c r="H23" s="704"/>
      <c r="I23" s="31"/>
      <c r="J23" s="21">
        <v>3656000</v>
      </c>
      <c r="K23" s="27" t="s">
        <v>15</v>
      </c>
      <c r="L23" s="27">
        <v>1</v>
      </c>
      <c r="M23" s="20" t="s">
        <v>16</v>
      </c>
      <c r="N23" s="27" t="s">
        <v>15</v>
      </c>
      <c r="O23" s="20">
        <v>4</v>
      </c>
      <c r="P23" s="20" t="s">
        <v>17</v>
      </c>
      <c r="Q23" s="27" t="s">
        <v>18</v>
      </c>
      <c r="R23" s="29">
        <f>J23*L23*O23</f>
        <v>14624000</v>
      </c>
      <c r="S23" s="7"/>
      <c r="T23" s="7"/>
    </row>
    <row r="24" spans="1:20" s="8" customFormat="1" ht="15" customHeight="1">
      <c r="A24" s="23"/>
      <c r="B24" s="23"/>
      <c r="C24" s="32"/>
      <c r="D24" s="32"/>
      <c r="E24" s="33"/>
      <c r="F24" s="33"/>
      <c r="G24" s="487"/>
      <c r="H24" s="487"/>
      <c r="I24" s="31" t="s">
        <v>1253</v>
      </c>
      <c r="J24" s="21">
        <v>3606000</v>
      </c>
      <c r="K24" s="27" t="s">
        <v>15</v>
      </c>
      <c r="L24" s="27">
        <v>1</v>
      </c>
      <c r="M24" s="20" t="s">
        <v>16</v>
      </c>
      <c r="N24" s="27" t="s">
        <v>15</v>
      </c>
      <c r="O24" s="20">
        <v>9</v>
      </c>
      <c r="P24" s="20" t="s">
        <v>17</v>
      </c>
      <c r="Q24" s="27" t="s">
        <v>18</v>
      </c>
      <c r="R24" s="29">
        <f t="shared" si="0"/>
        <v>32454000</v>
      </c>
      <c r="S24" s="7"/>
      <c r="T24" s="7"/>
    </row>
    <row r="25" spans="1:20" s="8" customFormat="1" ht="15" customHeight="1">
      <c r="A25" s="23"/>
      <c r="B25" s="23"/>
      <c r="C25" s="32"/>
      <c r="D25" s="32"/>
      <c r="E25" s="33"/>
      <c r="F25" s="33"/>
      <c r="G25" s="487"/>
      <c r="H25" s="487"/>
      <c r="I25" s="35"/>
      <c r="J25" s="21">
        <v>3666000</v>
      </c>
      <c r="K25" s="20" t="s">
        <v>15</v>
      </c>
      <c r="L25" s="20">
        <v>1</v>
      </c>
      <c r="M25" s="20" t="s">
        <v>16</v>
      </c>
      <c r="N25" s="20" t="s">
        <v>15</v>
      </c>
      <c r="O25" s="20">
        <v>3</v>
      </c>
      <c r="P25" s="20" t="s">
        <v>17</v>
      </c>
      <c r="Q25" s="20" t="s">
        <v>18</v>
      </c>
      <c r="R25" s="29">
        <f t="shared" si="0"/>
        <v>10998000</v>
      </c>
      <c r="S25" s="7"/>
      <c r="T25" s="7"/>
    </row>
    <row r="26" spans="1:20" s="8" customFormat="1" ht="15" customHeight="1">
      <c r="A26" s="23"/>
      <c r="B26" s="23"/>
      <c r="C26" s="32"/>
      <c r="D26" s="32"/>
      <c r="E26" s="33"/>
      <c r="F26" s="33"/>
      <c r="G26" s="487"/>
      <c r="H26" s="487"/>
      <c r="I26" s="31" t="s">
        <v>1254</v>
      </c>
      <c r="J26" s="21">
        <v>3309000</v>
      </c>
      <c r="K26" s="27" t="s">
        <v>15</v>
      </c>
      <c r="L26" s="27">
        <v>1</v>
      </c>
      <c r="M26" s="20" t="s">
        <v>16</v>
      </c>
      <c r="N26" s="27" t="s">
        <v>15</v>
      </c>
      <c r="O26" s="20">
        <v>4</v>
      </c>
      <c r="P26" s="20" t="s">
        <v>17</v>
      </c>
      <c r="Q26" s="27" t="s">
        <v>18</v>
      </c>
      <c r="R26" s="29">
        <f t="shared" si="0"/>
        <v>13236000</v>
      </c>
      <c r="S26" s="7"/>
      <c r="T26" s="7"/>
    </row>
    <row r="27" spans="1:20" s="8" customFormat="1" ht="15" customHeight="1">
      <c r="A27" s="23"/>
      <c r="B27" s="23"/>
      <c r="C27" s="32"/>
      <c r="D27" s="32"/>
      <c r="E27" s="33"/>
      <c r="F27" s="33"/>
      <c r="G27" s="487"/>
      <c r="H27" s="487"/>
      <c r="I27" s="36"/>
      <c r="J27" s="21">
        <v>3360000</v>
      </c>
      <c r="K27" s="27" t="s">
        <v>15</v>
      </c>
      <c r="L27" s="27">
        <v>1</v>
      </c>
      <c r="M27" s="20" t="s">
        <v>16</v>
      </c>
      <c r="N27" s="27" t="s">
        <v>15</v>
      </c>
      <c r="O27" s="20">
        <v>8</v>
      </c>
      <c r="P27" s="20" t="s">
        <v>17</v>
      </c>
      <c r="Q27" s="27" t="s">
        <v>18</v>
      </c>
      <c r="R27" s="29">
        <f t="shared" si="0"/>
        <v>26880000</v>
      </c>
      <c r="S27" s="7"/>
      <c r="T27" s="7"/>
    </row>
    <row r="28" spans="1:20" s="8" customFormat="1" ht="15" customHeight="1">
      <c r="A28" s="23"/>
      <c r="B28" s="23"/>
      <c r="C28" s="32"/>
      <c r="D28" s="32"/>
      <c r="E28" s="33"/>
      <c r="F28" s="33"/>
      <c r="G28" s="487"/>
      <c r="H28" s="487"/>
      <c r="I28" s="36" t="s">
        <v>1255</v>
      </c>
      <c r="J28" s="21">
        <v>3160000</v>
      </c>
      <c r="K28" s="27" t="s">
        <v>15</v>
      </c>
      <c r="L28" s="27">
        <v>1</v>
      </c>
      <c r="M28" s="20" t="s">
        <v>16</v>
      </c>
      <c r="N28" s="27" t="s">
        <v>15</v>
      </c>
      <c r="O28" s="20">
        <v>10</v>
      </c>
      <c r="P28" s="20" t="s">
        <v>17</v>
      </c>
      <c r="Q28" s="27" t="s">
        <v>18</v>
      </c>
      <c r="R28" s="29">
        <f t="shared" si="0"/>
        <v>31600000</v>
      </c>
      <c r="S28" s="7"/>
      <c r="T28" s="7"/>
    </row>
    <row r="29" spans="1:20" s="8" customFormat="1" ht="15" customHeight="1">
      <c r="A29" s="23"/>
      <c r="B29" s="23"/>
      <c r="C29" s="32"/>
      <c r="D29" s="32"/>
      <c r="E29" s="33"/>
      <c r="F29" s="33"/>
      <c r="G29" s="487"/>
      <c r="H29" s="487"/>
      <c r="I29" s="36"/>
      <c r="J29" s="21">
        <v>3212000</v>
      </c>
      <c r="K29" s="27" t="s">
        <v>15</v>
      </c>
      <c r="L29" s="27">
        <v>1</v>
      </c>
      <c r="M29" s="20" t="s">
        <v>16</v>
      </c>
      <c r="N29" s="27" t="s">
        <v>15</v>
      </c>
      <c r="O29" s="20">
        <v>2</v>
      </c>
      <c r="P29" s="20" t="s">
        <v>17</v>
      </c>
      <c r="Q29" s="27" t="s">
        <v>18</v>
      </c>
      <c r="R29" s="29">
        <f t="shared" si="0"/>
        <v>6424000</v>
      </c>
      <c r="S29" s="7"/>
      <c r="T29" s="7"/>
    </row>
    <row r="30" spans="1:20" s="8" customFormat="1" ht="15" customHeight="1">
      <c r="A30" s="23"/>
      <c r="B30" s="23"/>
      <c r="C30" s="32"/>
      <c r="D30" s="32"/>
      <c r="E30" s="33"/>
      <c r="F30" s="33"/>
      <c r="G30" s="487"/>
      <c r="H30" s="487"/>
      <c r="I30" s="36" t="s">
        <v>1256</v>
      </c>
      <c r="J30" s="21">
        <v>2971000</v>
      </c>
      <c r="K30" s="27" t="s">
        <v>15</v>
      </c>
      <c r="L30" s="27">
        <v>1</v>
      </c>
      <c r="M30" s="20" t="s">
        <v>16</v>
      </c>
      <c r="N30" s="27" t="s">
        <v>15</v>
      </c>
      <c r="O30" s="20">
        <v>2</v>
      </c>
      <c r="P30" s="20" t="s">
        <v>17</v>
      </c>
      <c r="Q30" s="27" t="s">
        <v>18</v>
      </c>
      <c r="R30" s="29">
        <f t="shared" si="0"/>
        <v>5942000</v>
      </c>
      <c r="S30" s="7"/>
      <c r="T30" s="7"/>
    </row>
    <row r="31" spans="1:20" s="8" customFormat="1" ht="15" customHeight="1">
      <c r="A31" s="23"/>
      <c r="B31" s="23"/>
      <c r="C31" s="32"/>
      <c r="D31" s="32"/>
      <c r="E31" s="33"/>
      <c r="F31" s="33"/>
      <c r="G31" s="487"/>
      <c r="H31" s="487"/>
      <c r="I31" s="36"/>
      <c r="J31" s="21">
        <v>3019000</v>
      </c>
      <c r="K31" s="27" t="s">
        <v>15</v>
      </c>
      <c r="L31" s="27">
        <v>1</v>
      </c>
      <c r="M31" s="20" t="s">
        <v>16</v>
      </c>
      <c r="N31" s="27" t="s">
        <v>15</v>
      </c>
      <c r="O31" s="20">
        <v>10</v>
      </c>
      <c r="P31" s="20" t="s">
        <v>17</v>
      </c>
      <c r="Q31" s="27" t="s">
        <v>18</v>
      </c>
      <c r="R31" s="29">
        <f t="shared" si="0"/>
        <v>30190000</v>
      </c>
      <c r="S31" s="7"/>
      <c r="T31" s="7"/>
    </row>
    <row r="32" spans="1:20" s="8" customFormat="1" ht="15" customHeight="1">
      <c r="A32" s="23"/>
      <c r="B32" s="23"/>
      <c r="C32" s="32"/>
      <c r="D32" s="32"/>
      <c r="E32" s="33"/>
      <c r="F32" s="33"/>
      <c r="G32" s="487"/>
      <c r="H32" s="487"/>
      <c r="I32" s="31" t="s">
        <v>1256</v>
      </c>
      <c r="J32" s="21">
        <v>2228250</v>
      </c>
      <c r="K32" s="27" t="s">
        <v>15</v>
      </c>
      <c r="L32" s="27">
        <v>1</v>
      </c>
      <c r="M32" s="20" t="s">
        <v>16</v>
      </c>
      <c r="N32" s="27" t="s">
        <v>15</v>
      </c>
      <c r="O32" s="20">
        <v>8</v>
      </c>
      <c r="P32" s="20" t="s">
        <v>17</v>
      </c>
      <c r="Q32" s="27" t="s">
        <v>18</v>
      </c>
      <c r="R32" s="29">
        <f>J32*L32*O32</f>
        <v>17826000</v>
      </c>
      <c r="S32" s="7"/>
      <c r="T32" s="7"/>
    </row>
    <row r="33" spans="1:20" s="8" customFormat="1" ht="15" customHeight="1">
      <c r="A33" s="23"/>
      <c r="B33" s="23"/>
      <c r="C33" s="32"/>
      <c r="D33" s="32"/>
      <c r="E33" s="33"/>
      <c r="F33" s="33"/>
      <c r="G33" s="487"/>
      <c r="H33" s="487"/>
      <c r="I33" s="31"/>
      <c r="J33" s="21">
        <v>3019000</v>
      </c>
      <c r="K33" s="27" t="s">
        <v>15</v>
      </c>
      <c r="L33" s="27">
        <v>1</v>
      </c>
      <c r="M33" s="20" t="s">
        <v>16</v>
      </c>
      <c r="N33" s="27" t="s">
        <v>15</v>
      </c>
      <c r="O33" s="20">
        <v>4</v>
      </c>
      <c r="P33" s="20" t="s">
        <v>19</v>
      </c>
      <c r="Q33" s="27" t="s">
        <v>18</v>
      </c>
      <c r="R33" s="29">
        <f>J33*L33*O33</f>
        <v>12076000</v>
      </c>
      <c r="S33" s="7"/>
      <c r="T33" s="7"/>
    </row>
    <row r="34" spans="1:20" s="8" customFormat="1" ht="15" customHeight="1">
      <c r="A34" s="23"/>
      <c r="B34" s="23"/>
      <c r="C34" s="32"/>
      <c r="D34" s="32"/>
      <c r="E34" s="33"/>
      <c r="F34" s="33"/>
      <c r="G34" s="487"/>
      <c r="H34" s="487"/>
      <c r="I34" s="31" t="s">
        <v>1257</v>
      </c>
      <c r="J34" s="21">
        <v>2835000</v>
      </c>
      <c r="K34" s="27" t="s">
        <v>15</v>
      </c>
      <c r="L34" s="27">
        <v>1</v>
      </c>
      <c r="M34" s="20" t="s">
        <v>16</v>
      </c>
      <c r="N34" s="27" t="s">
        <v>15</v>
      </c>
      <c r="O34" s="20">
        <v>12</v>
      </c>
      <c r="P34" s="20" t="s">
        <v>17</v>
      </c>
      <c r="Q34" s="27" t="s">
        <v>18</v>
      </c>
      <c r="R34" s="29">
        <f t="shared" si="0"/>
        <v>34020000</v>
      </c>
      <c r="S34" s="7"/>
      <c r="T34" s="7"/>
    </row>
    <row r="35" spans="1:20" s="8" customFormat="1" ht="15" customHeight="1">
      <c r="A35" s="23"/>
      <c r="B35" s="23"/>
      <c r="C35" s="32"/>
      <c r="D35" s="32"/>
      <c r="E35" s="33"/>
      <c r="F35" s="33"/>
      <c r="G35" s="487"/>
      <c r="H35" s="487"/>
      <c r="I35" s="31"/>
      <c r="J35" s="21">
        <v>0</v>
      </c>
      <c r="K35" s="27" t="s">
        <v>15</v>
      </c>
      <c r="L35" s="27">
        <v>1</v>
      </c>
      <c r="M35" s="20" t="s">
        <v>16</v>
      </c>
      <c r="N35" s="27" t="s">
        <v>15</v>
      </c>
      <c r="O35" s="20">
        <v>0</v>
      </c>
      <c r="P35" s="20" t="s">
        <v>17</v>
      </c>
      <c r="Q35" s="27" t="s">
        <v>18</v>
      </c>
      <c r="R35" s="29">
        <f t="shared" si="0"/>
        <v>0</v>
      </c>
      <c r="S35" s="7"/>
      <c r="T35" s="7"/>
    </row>
    <row r="36" spans="1:20" s="8" customFormat="1" ht="15" customHeight="1">
      <c r="A36" s="23"/>
      <c r="B36" s="23"/>
      <c r="C36" s="32"/>
      <c r="D36" s="32"/>
      <c r="E36" s="33"/>
      <c r="F36" s="33"/>
      <c r="G36" s="487"/>
      <c r="H36" s="487"/>
      <c r="I36" s="35" t="s">
        <v>1258</v>
      </c>
      <c r="J36" s="21">
        <v>3066000</v>
      </c>
      <c r="K36" s="27" t="s">
        <v>15</v>
      </c>
      <c r="L36" s="27">
        <v>1</v>
      </c>
      <c r="M36" s="20" t="s">
        <v>16</v>
      </c>
      <c r="N36" s="27" t="s">
        <v>15</v>
      </c>
      <c r="O36" s="20">
        <v>11</v>
      </c>
      <c r="P36" s="20" t="s">
        <v>17</v>
      </c>
      <c r="Q36" s="27" t="s">
        <v>18</v>
      </c>
      <c r="R36" s="29">
        <f t="shared" si="0"/>
        <v>33726000</v>
      </c>
      <c r="S36" s="7"/>
      <c r="T36" s="7"/>
    </row>
    <row r="37" spans="1:20" s="8" customFormat="1" ht="15" customHeight="1">
      <c r="A37" s="23"/>
      <c r="B37" s="23"/>
      <c r="C37" s="32"/>
      <c r="D37" s="32"/>
      <c r="E37" s="33"/>
      <c r="F37" s="33"/>
      <c r="G37" s="487"/>
      <c r="H37" s="487"/>
      <c r="I37" s="31"/>
      <c r="J37" s="21">
        <v>3113000</v>
      </c>
      <c r="K37" s="27" t="s">
        <v>15</v>
      </c>
      <c r="L37" s="27">
        <v>1</v>
      </c>
      <c r="M37" s="20" t="s">
        <v>16</v>
      </c>
      <c r="N37" s="27" t="s">
        <v>15</v>
      </c>
      <c r="O37" s="20">
        <v>1</v>
      </c>
      <c r="P37" s="20" t="s">
        <v>17</v>
      </c>
      <c r="Q37" s="27" t="s">
        <v>18</v>
      </c>
      <c r="R37" s="29">
        <f t="shared" si="0"/>
        <v>3113000</v>
      </c>
      <c r="S37" s="7"/>
      <c r="T37" s="7"/>
    </row>
    <row r="38" spans="1:20" s="8" customFormat="1" ht="15" customHeight="1">
      <c r="A38" s="23"/>
      <c r="B38" s="23"/>
      <c r="C38" s="32"/>
      <c r="D38" s="32"/>
      <c r="E38" s="33"/>
      <c r="F38" s="33"/>
      <c r="G38" s="487"/>
      <c r="H38" s="487"/>
      <c r="I38" s="31" t="s">
        <v>1259</v>
      </c>
      <c r="J38" s="21">
        <v>2041000</v>
      </c>
      <c r="K38" s="27" t="s">
        <v>15</v>
      </c>
      <c r="L38" s="27">
        <v>1</v>
      </c>
      <c r="M38" s="20" t="s">
        <v>16</v>
      </c>
      <c r="N38" s="27" t="s">
        <v>15</v>
      </c>
      <c r="O38" s="20">
        <v>1</v>
      </c>
      <c r="P38" s="20" t="s">
        <v>17</v>
      </c>
      <c r="Q38" s="27" t="s">
        <v>18</v>
      </c>
      <c r="R38" s="29">
        <f t="shared" si="0"/>
        <v>2041000</v>
      </c>
      <c r="S38" s="7"/>
      <c r="T38" s="7"/>
    </row>
    <row r="39" spans="1:20" s="8" customFormat="1" ht="15" customHeight="1">
      <c r="A39" s="23"/>
      <c r="B39" s="23"/>
      <c r="C39" s="32"/>
      <c r="D39" s="32"/>
      <c r="E39" s="33"/>
      <c r="F39" s="33"/>
      <c r="G39" s="487"/>
      <c r="H39" s="487"/>
      <c r="I39" s="31"/>
      <c r="J39" s="21">
        <v>2051000</v>
      </c>
      <c r="K39" s="27" t="s">
        <v>15</v>
      </c>
      <c r="L39" s="27">
        <v>1</v>
      </c>
      <c r="M39" s="20" t="s">
        <v>16</v>
      </c>
      <c r="N39" s="27" t="s">
        <v>15</v>
      </c>
      <c r="O39" s="20">
        <v>11</v>
      </c>
      <c r="P39" s="20" t="s">
        <v>17</v>
      </c>
      <c r="Q39" s="27" t="s">
        <v>18</v>
      </c>
      <c r="R39" s="29">
        <f>J39*L39*O39</f>
        <v>22561000</v>
      </c>
      <c r="S39" s="7"/>
      <c r="T39" s="7"/>
    </row>
    <row r="40" spans="1:20" s="8" customFormat="1" ht="15" customHeight="1">
      <c r="A40" s="23"/>
      <c r="B40" s="23"/>
      <c r="C40" s="32"/>
      <c r="D40" s="32"/>
      <c r="E40" s="33"/>
      <c r="F40" s="33"/>
      <c r="G40" s="487"/>
      <c r="H40" s="487"/>
      <c r="I40" s="31" t="s">
        <v>1259</v>
      </c>
      <c r="J40" s="21">
        <v>2041000</v>
      </c>
      <c r="K40" s="27" t="s">
        <v>15</v>
      </c>
      <c r="L40" s="27">
        <v>1</v>
      </c>
      <c r="M40" s="20" t="s">
        <v>16</v>
      </c>
      <c r="N40" s="27" t="s">
        <v>15</v>
      </c>
      <c r="O40" s="20">
        <v>7</v>
      </c>
      <c r="P40" s="20" t="s">
        <v>17</v>
      </c>
      <c r="Q40" s="27" t="s">
        <v>18</v>
      </c>
      <c r="R40" s="29">
        <f>J40*L40*O40</f>
        <v>14287000</v>
      </c>
      <c r="S40" s="7"/>
      <c r="T40" s="7"/>
    </row>
    <row r="41" spans="1:20" s="8" customFormat="1" ht="15" customHeight="1">
      <c r="A41" s="23"/>
      <c r="B41" s="23"/>
      <c r="C41" s="32"/>
      <c r="D41" s="32"/>
      <c r="E41" s="33"/>
      <c r="F41" s="33"/>
      <c r="G41" s="487"/>
      <c r="H41" s="487"/>
      <c r="I41" s="31"/>
      <c r="J41" s="21">
        <v>2051000</v>
      </c>
      <c r="K41" s="27" t="s">
        <v>15</v>
      </c>
      <c r="L41" s="27">
        <v>1</v>
      </c>
      <c r="M41" s="20" t="s">
        <v>16</v>
      </c>
      <c r="N41" s="27" t="s">
        <v>15</v>
      </c>
      <c r="O41" s="20">
        <v>5</v>
      </c>
      <c r="P41" s="20" t="s">
        <v>17</v>
      </c>
      <c r="Q41" s="27" t="s">
        <v>18</v>
      </c>
      <c r="R41" s="29">
        <f>J41*L41*O41</f>
        <v>10255000</v>
      </c>
      <c r="S41" s="7"/>
      <c r="T41" s="7"/>
    </row>
    <row r="42" spans="1:20" s="8" customFormat="1" ht="15" customHeight="1">
      <c r="A42" s="23"/>
      <c r="B42" s="23"/>
      <c r="C42" s="32"/>
      <c r="D42" s="32"/>
      <c r="E42" s="33"/>
      <c r="F42" s="33"/>
      <c r="G42" s="487"/>
      <c r="H42" s="487"/>
      <c r="I42" s="35" t="s">
        <v>1260</v>
      </c>
      <c r="J42" s="21">
        <v>2936000</v>
      </c>
      <c r="K42" s="27" t="s">
        <v>15</v>
      </c>
      <c r="L42" s="27">
        <v>1</v>
      </c>
      <c r="M42" s="20" t="s">
        <v>16</v>
      </c>
      <c r="N42" s="27" t="s">
        <v>15</v>
      </c>
      <c r="O42" s="20">
        <v>7</v>
      </c>
      <c r="P42" s="20" t="s">
        <v>17</v>
      </c>
      <c r="Q42" s="27" t="s">
        <v>18</v>
      </c>
      <c r="R42" s="29">
        <f t="shared" si="0"/>
        <v>20552000</v>
      </c>
      <c r="S42" s="7"/>
      <c r="T42" s="7"/>
    </row>
    <row r="43" spans="1:20" s="8" customFormat="1" ht="15" customHeight="1">
      <c r="A43" s="23"/>
      <c r="B43" s="23"/>
      <c r="C43" s="32"/>
      <c r="D43" s="32"/>
      <c r="E43" s="33"/>
      <c r="F43" s="33"/>
      <c r="G43" s="487"/>
      <c r="H43" s="487"/>
      <c r="I43" s="36"/>
      <c r="J43" s="21">
        <v>2983000</v>
      </c>
      <c r="K43" s="27" t="s">
        <v>15</v>
      </c>
      <c r="L43" s="27">
        <v>1</v>
      </c>
      <c r="M43" s="20" t="s">
        <v>16</v>
      </c>
      <c r="N43" s="27" t="s">
        <v>15</v>
      </c>
      <c r="O43" s="20">
        <v>5</v>
      </c>
      <c r="P43" s="20" t="s">
        <v>17</v>
      </c>
      <c r="Q43" s="27" t="s">
        <v>18</v>
      </c>
      <c r="R43" s="29">
        <f t="shared" si="0"/>
        <v>14915000</v>
      </c>
      <c r="S43" s="7"/>
      <c r="T43" s="7"/>
    </row>
    <row r="44" spans="1:20" s="8" customFormat="1" ht="15" customHeight="1">
      <c r="A44" s="23"/>
      <c r="B44" s="23"/>
      <c r="C44" s="32"/>
      <c r="D44" s="32"/>
      <c r="E44" s="33"/>
      <c r="F44" s="33"/>
      <c r="G44" s="487"/>
      <c r="H44" s="487"/>
      <c r="I44" s="31" t="s">
        <v>1261</v>
      </c>
      <c r="J44" s="21">
        <v>2748000</v>
      </c>
      <c r="K44" s="27" t="s">
        <v>15</v>
      </c>
      <c r="L44" s="27">
        <v>1</v>
      </c>
      <c r="M44" s="20" t="s">
        <v>16</v>
      </c>
      <c r="N44" s="27" t="s">
        <v>15</v>
      </c>
      <c r="O44" s="20">
        <v>3</v>
      </c>
      <c r="P44" s="20" t="s">
        <v>17</v>
      </c>
      <c r="Q44" s="27" t="s">
        <v>18</v>
      </c>
      <c r="R44" s="29">
        <f t="shared" si="0"/>
        <v>8244000</v>
      </c>
      <c r="S44" s="37"/>
      <c r="T44" s="7"/>
    </row>
    <row r="45" spans="1:20" s="8" customFormat="1" ht="15" customHeight="1">
      <c r="A45" s="23"/>
      <c r="B45" s="23"/>
      <c r="C45" s="32"/>
      <c r="D45" s="32"/>
      <c r="E45" s="33"/>
      <c r="F45" s="33"/>
      <c r="G45" s="487"/>
      <c r="H45" s="487"/>
      <c r="I45" s="36"/>
      <c r="J45" s="21">
        <v>2798000</v>
      </c>
      <c r="K45" s="27" t="s">
        <v>15</v>
      </c>
      <c r="L45" s="27">
        <v>1</v>
      </c>
      <c r="M45" s="20" t="s">
        <v>16</v>
      </c>
      <c r="N45" s="27" t="s">
        <v>15</v>
      </c>
      <c r="O45" s="20">
        <v>9</v>
      </c>
      <c r="P45" s="20" t="s">
        <v>17</v>
      </c>
      <c r="Q45" s="27" t="s">
        <v>18</v>
      </c>
      <c r="R45" s="29">
        <f t="shared" si="0"/>
        <v>25182000</v>
      </c>
      <c r="S45" s="37"/>
      <c r="T45" s="7"/>
    </row>
    <row r="46" spans="1:20" s="8" customFormat="1" ht="15" customHeight="1">
      <c r="A46" s="23"/>
      <c r="B46" s="23"/>
      <c r="C46" s="32"/>
      <c r="D46" s="32"/>
      <c r="E46" s="33"/>
      <c r="F46" s="33"/>
      <c r="G46" s="487"/>
      <c r="H46" s="487"/>
      <c r="I46" s="31" t="s">
        <v>1262</v>
      </c>
      <c r="J46" s="21">
        <v>2609000</v>
      </c>
      <c r="K46" s="27" t="s">
        <v>15</v>
      </c>
      <c r="L46" s="27">
        <v>1</v>
      </c>
      <c r="M46" s="20" t="s">
        <v>16</v>
      </c>
      <c r="N46" s="27" t="s">
        <v>15</v>
      </c>
      <c r="O46" s="20">
        <v>5</v>
      </c>
      <c r="P46" s="20" t="s">
        <v>17</v>
      </c>
      <c r="Q46" s="27" t="s">
        <v>18</v>
      </c>
      <c r="R46" s="29">
        <f t="shared" si="0"/>
        <v>13045000</v>
      </c>
      <c r="S46" s="37"/>
      <c r="T46" s="7"/>
    </row>
    <row r="47" spans="1:20" s="8" customFormat="1" ht="15" customHeight="1">
      <c r="A47" s="23"/>
      <c r="B47" s="23"/>
      <c r="C47" s="32"/>
      <c r="D47" s="32"/>
      <c r="E47" s="33"/>
      <c r="F47" s="33"/>
      <c r="G47" s="487"/>
      <c r="H47" s="487"/>
      <c r="I47" s="31"/>
      <c r="J47" s="21">
        <v>2660000</v>
      </c>
      <c r="K47" s="27" t="s">
        <v>15</v>
      </c>
      <c r="L47" s="27">
        <v>1</v>
      </c>
      <c r="M47" s="20" t="s">
        <v>16</v>
      </c>
      <c r="N47" s="27" t="s">
        <v>15</v>
      </c>
      <c r="O47" s="20">
        <v>7</v>
      </c>
      <c r="P47" s="20" t="s">
        <v>17</v>
      </c>
      <c r="Q47" s="27" t="s">
        <v>18</v>
      </c>
      <c r="R47" s="29">
        <f t="shared" si="0"/>
        <v>18620000</v>
      </c>
      <c r="S47" s="37"/>
      <c r="T47" s="7"/>
    </row>
    <row r="48" spans="1:20" s="8" customFormat="1" ht="15" customHeight="1">
      <c r="A48" s="23"/>
      <c r="B48" s="23"/>
      <c r="C48" s="32"/>
      <c r="D48" s="32"/>
      <c r="E48" s="33"/>
      <c r="F48" s="33"/>
      <c r="G48" s="487"/>
      <c r="H48" s="487"/>
      <c r="I48" s="35" t="s">
        <v>1259</v>
      </c>
      <c r="J48" s="21">
        <v>2041000</v>
      </c>
      <c r="K48" s="27" t="s">
        <v>15</v>
      </c>
      <c r="L48" s="27">
        <v>1</v>
      </c>
      <c r="M48" s="20" t="s">
        <v>16</v>
      </c>
      <c r="N48" s="27" t="s">
        <v>15</v>
      </c>
      <c r="O48" s="20">
        <v>12</v>
      </c>
      <c r="P48" s="20" t="s">
        <v>17</v>
      </c>
      <c r="Q48" s="27" t="s">
        <v>18</v>
      </c>
      <c r="R48" s="29">
        <f t="shared" si="0"/>
        <v>24492000</v>
      </c>
      <c r="S48" s="37"/>
      <c r="T48" s="7"/>
    </row>
    <row r="49" spans="1:20" s="8" customFormat="1" ht="15" customHeight="1">
      <c r="A49" s="23"/>
      <c r="B49" s="23"/>
      <c r="C49" s="32"/>
      <c r="D49" s="32"/>
      <c r="E49" s="33"/>
      <c r="F49" s="33"/>
      <c r="G49" s="487"/>
      <c r="H49" s="487"/>
      <c r="I49" s="35"/>
      <c r="J49" s="21">
        <v>0</v>
      </c>
      <c r="K49" s="27" t="s">
        <v>15</v>
      </c>
      <c r="L49" s="27">
        <v>1</v>
      </c>
      <c r="M49" s="20" t="s">
        <v>16</v>
      </c>
      <c r="N49" s="27" t="s">
        <v>15</v>
      </c>
      <c r="O49" s="20">
        <v>0</v>
      </c>
      <c r="P49" s="20" t="s">
        <v>17</v>
      </c>
      <c r="Q49" s="27" t="s">
        <v>18</v>
      </c>
      <c r="R49" s="29">
        <f t="shared" si="0"/>
        <v>0</v>
      </c>
      <c r="S49" s="37"/>
      <c r="T49" s="7"/>
    </row>
    <row r="50" spans="1:20" s="8" customFormat="1" ht="15" customHeight="1">
      <c r="A50" s="23"/>
      <c r="B50" s="23"/>
      <c r="C50" s="32"/>
      <c r="D50" s="32"/>
      <c r="E50" s="33"/>
      <c r="F50" s="33"/>
      <c r="G50" s="487"/>
      <c r="H50" s="487"/>
      <c r="I50" s="35" t="s">
        <v>1263</v>
      </c>
      <c r="J50" s="21">
        <v>2569000</v>
      </c>
      <c r="K50" s="27" t="s">
        <v>15</v>
      </c>
      <c r="L50" s="27">
        <v>1</v>
      </c>
      <c r="M50" s="20" t="s">
        <v>16</v>
      </c>
      <c r="N50" s="27" t="s">
        <v>15</v>
      </c>
      <c r="O50" s="20">
        <v>4</v>
      </c>
      <c r="P50" s="20" t="s">
        <v>17</v>
      </c>
      <c r="Q50" s="27" t="s">
        <v>18</v>
      </c>
      <c r="R50" s="29">
        <f t="shared" si="0"/>
        <v>10276000</v>
      </c>
      <c r="S50" s="7"/>
      <c r="T50" s="7"/>
    </row>
    <row r="51" spans="1:20" s="8" customFormat="1" ht="15" customHeight="1">
      <c r="A51" s="23"/>
      <c r="B51" s="23"/>
      <c r="C51" s="32"/>
      <c r="D51" s="32"/>
      <c r="E51" s="33"/>
      <c r="F51" s="33"/>
      <c r="G51" s="487"/>
      <c r="H51" s="487"/>
      <c r="I51" s="35"/>
      <c r="J51" s="21">
        <v>2609000</v>
      </c>
      <c r="K51" s="27" t="s">
        <v>15</v>
      </c>
      <c r="L51" s="27">
        <v>1</v>
      </c>
      <c r="M51" s="20" t="s">
        <v>16</v>
      </c>
      <c r="N51" s="27" t="s">
        <v>15</v>
      </c>
      <c r="O51" s="20">
        <v>8</v>
      </c>
      <c r="P51" s="20" t="s">
        <v>17</v>
      </c>
      <c r="Q51" s="27" t="s">
        <v>18</v>
      </c>
      <c r="R51" s="29">
        <f t="shared" si="0"/>
        <v>20872000</v>
      </c>
      <c r="S51" s="7"/>
      <c r="T51" s="7"/>
    </row>
    <row r="52" spans="1:20" s="8" customFormat="1" ht="15" customHeight="1">
      <c r="A52" s="23"/>
      <c r="B52" s="23"/>
      <c r="C52" s="32"/>
      <c r="D52" s="32"/>
      <c r="E52" s="33"/>
      <c r="F52" s="33"/>
      <c r="G52" s="487"/>
      <c r="H52" s="487"/>
      <c r="I52" s="35" t="s">
        <v>1264</v>
      </c>
      <c r="J52" s="21">
        <v>2325000</v>
      </c>
      <c r="K52" s="27" t="s">
        <v>15</v>
      </c>
      <c r="L52" s="27">
        <v>1</v>
      </c>
      <c r="M52" s="20" t="s">
        <v>16</v>
      </c>
      <c r="N52" s="27" t="s">
        <v>15</v>
      </c>
      <c r="O52" s="20">
        <v>11</v>
      </c>
      <c r="P52" s="20" t="s">
        <v>17</v>
      </c>
      <c r="Q52" s="27" t="s">
        <v>18</v>
      </c>
      <c r="R52" s="29">
        <f t="shared" si="0"/>
        <v>25575000</v>
      </c>
      <c r="S52" s="7"/>
      <c r="T52" s="7"/>
    </row>
    <row r="53" spans="1:20" s="8" customFormat="1" ht="15" customHeight="1">
      <c r="A53" s="23"/>
      <c r="B53" s="23"/>
      <c r="C53" s="32"/>
      <c r="D53" s="32"/>
      <c r="E53" s="33"/>
      <c r="F53" s="33"/>
      <c r="G53" s="487"/>
      <c r="H53" s="487"/>
      <c r="I53" s="35"/>
      <c r="J53" s="21">
        <v>2408000</v>
      </c>
      <c r="K53" s="27" t="s">
        <v>15</v>
      </c>
      <c r="L53" s="27">
        <v>1</v>
      </c>
      <c r="M53" s="20" t="s">
        <v>16</v>
      </c>
      <c r="N53" s="27" t="s">
        <v>15</v>
      </c>
      <c r="O53" s="20">
        <v>1</v>
      </c>
      <c r="P53" s="20" t="s">
        <v>17</v>
      </c>
      <c r="Q53" s="27" t="s">
        <v>18</v>
      </c>
      <c r="R53" s="29">
        <f t="shared" si="0"/>
        <v>2408000</v>
      </c>
      <c r="S53" s="7"/>
      <c r="T53" s="7"/>
    </row>
    <row r="54" spans="1:20" s="8" customFormat="1" ht="15" customHeight="1">
      <c r="A54" s="23"/>
      <c r="B54" s="23"/>
      <c r="C54" s="32"/>
      <c r="D54" s="32"/>
      <c r="E54" s="33"/>
      <c r="F54" s="33"/>
      <c r="G54" s="487"/>
      <c r="H54" s="487"/>
      <c r="I54" s="35" t="s">
        <v>1265</v>
      </c>
      <c r="J54" s="21">
        <v>2255000</v>
      </c>
      <c r="K54" s="27" t="s">
        <v>15</v>
      </c>
      <c r="L54" s="27">
        <v>1</v>
      </c>
      <c r="M54" s="20" t="s">
        <v>16</v>
      </c>
      <c r="N54" s="27" t="s">
        <v>15</v>
      </c>
      <c r="O54" s="20">
        <v>7</v>
      </c>
      <c r="P54" s="20" t="s">
        <v>17</v>
      </c>
      <c r="Q54" s="27" t="s">
        <v>18</v>
      </c>
      <c r="R54" s="29">
        <f t="shared" si="0"/>
        <v>15785000</v>
      </c>
      <c r="S54" s="7"/>
      <c r="T54" s="7"/>
    </row>
    <row r="55" spans="1:20" s="8" customFormat="1" ht="15" customHeight="1">
      <c r="A55" s="23"/>
      <c r="B55" s="23"/>
      <c r="C55" s="32"/>
      <c r="D55" s="32"/>
      <c r="E55" s="33"/>
      <c r="F55" s="33"/>
      <c r="G55" s="487"/>
      <c r="H55" s="487"/>
      <c r="I55" s="35"/>
      <c r="J55" s="21">
        <v>2325000</v>
      </c>
      <c r="K55" s="27" t="s">
        <v>15</v>
      </c>
      <c r="L55" s="27">
        <v>1</v>
      </c>
      <c r="M55" s="20" t="s">
        <v>16</v>
      </c>
      <c r="N55" s="27" t="s">
        <v>15</v>
      </c>
      <c r="O55" s="20">
        <v>5</v>
      </c>
      <c r="P55" s="20" t="s">
        <v>17</v>
      </c>
      <c r="Q55" s="27" t="s">
        <v>18</v>
      </c>
      <c r="R55" s="29">
        <f t="shared" si="0"/>
        <v>11625000</v>
      </c>
      <c r="S55" s="7"/>
      <c r="T55" s="7"/>
    </row>
    <row r="56" spans="1:20" s="8" customFormat="1" ht="15" customHeight="1">
      <c r="A56" s="23"/>
      <c r="B56" s="23"/>
      <c r="C56" s="32"/>
      <c r="D56" s="32"/>
      <c r="E56" s="33"/>
      <c r="F56" s="33"/>
      <c r="G56" s="487"/>
      <c r="H56" s="487"/>
      <c r="I56" s="35" t="s">
        <v>1266</v>
      </c>
      <c r="J56" s="21">
        <v>2177000</v>
      </c>
      <c r="K56" s="27" t="s">
        <v>15</v>
      </c>
      <c r="L56" s="27">
        <v>1</v>
      </c>
      <c r="M56" s="20" t="s">
        <v>16</v>
      </c>
      <c r="N56" s="27" t="s">
        <v>15</v>
      </c>
      <c r="O56" s="20">
        <v>11</v>
      </c>
      <c r="P56" s="20" t="s">
        <v>17</v>
      </c>
      <c r="Q56" s="27" t="s">
        <v>18</v>
      </c>
      <c r="R56" s="29">
        <f t="shared" si="0"/>
        <v>23947000</v>
      </c>
      <c r="S56" s="7"/>
      <c r="T56" s="7"/>
    </row>
    <row r="57" spans="1:20" s="8" customFormat="1" ht="15" customHeight="1">
      <c r="A57" s="23"/>
      <c r="B57" s="23"/>
      <c r="C57" s="32"/>
      <c r="D57" s="32"/>
      <c r="E57" s="33"/>
      <c r="F57" s="33"/>
      <c r="G57" s="487"/>
      <c r="H57" s="487"/>
      <c r="I57" s="35"/>
      <c r="J57" s="21">
        <v>2255000</v>
      </c>
      <c r="K57" s="27" t="s">
        <v>15</v>
      </c>
      <c r="L57" s="27">
        <v>1</v>
      </c>
      <c r="M57" s="20" t="s">
        <v>16</v>
      </c>
      <c r="N57" s="27" t="s">
        <v>15</v>
      </c>
      <c r="O57" s="20">
        <v>1</v>
      </c>
      <c r="P57" s="20" t="s">
        <v>17</v>
      </c>
      <c r="Q57" s="27" t="s">
        <v>18</v>
      </c>
      <c r="R57" s="29">
        <f t="shared" si="0"/>
        <v>2255000</v>
      </c>
      <c r="S57" s="7"/>
      <c r="T57" s="7"/>
    </row>
    <row r="58" spans="1:20" s="8" customFormat="1" ht="15" customHeight="1">
      <c r="A58" s="23"/>
      <c r="B58" s="23"/>
      <c r="C58" s="32"/>
      <c r="D58" s="32"/>
      <c r="E58" s="33"/>
      <c r="F58" s="33"/>
      <c r="G58" s="487"/>
      <c r="H58" s="487"/>
      <c r="I58" s="35" t="s">
        <v>1266</v>
      </c>
      <c r="J58" s="21">
        <v>2177000</v>
      </c>
      <c r="K58" s="27" t="s">
        <v>15</v>
      </c>
      <c r="L58" s="27">
        <v>1</v>
      </c>
      <c r="M58" s="20" t="s">
        <v>16</v>
      </c>
      <c r="N58" s="27" t="s">
        <v>15</v>
      </c>
      <c r="O58" s="20">
        <v>11</v>
      </c>
      <c r="P58" s="20" t="s">
        <v>17</v>
      </c>
      <c r="Q58" s="27" t="s">
        <v>18</v>
      </c>
      <c r="R58" s="29">
        <f t="shared" si="0"/>
        <v>23947000</v>
      </c>
      <c r="S58" s="7"/>
      <c r="T58" s="7"/>
    </row>
    <row r="59" spans="1:20" s="8" customFormat="1" ht="15" customHeight="1">
      <c r="A59" s="23"/>
      <c r="B59" s="23"/>
      <c r="C59" s="32"/>
      <c r="D59" s="32"/>
      <c r="E59" s="33"/>
      <c r="F59" s="33"/>
      <c r="G59" s="487"/>
      <c r="H59" s="487"/>
      <c r="I59" s="35"/>
      <c r="J59" s="21">
        <v>2255000</v>
      </c>
      <c r="K59" s="27" t="s">
        <v>15</v>
      </c>
      <c r="L59" s="27">
        <v>1</v>
      </c>
      <c r="M59" s="20" t="s">
        <v>16</v>
      </c>
      <c r="N59" s="27" t="s">
        <v>15</v>
      </c>
      <c r="O59" s="20">
        <v>1</v>
      </c>
      <c r="P59" s="20" t="s">
        <v>17</v>
      </c>
      <c r="Q59" s="27" t="s">
        <v>18</v>
      </c>
      <c r="R59" s="29">
        <f t="shared" si="0"/>
        <v>2255000</v>
      </c>
      <c r="S59" s="7"/>
      <c r="T59" s="7"/>
    </row>
    <row r="60" spans="1:20" s="8" customFormat="1" ht="15" customHeight="1">
      <c r="A60" s="23"/>
      <c r="B60" s="23"/>
      <c r="C60" s="32"/>
      <c r="D60" s="32"/>
      <c r="E60" s="33"/>
      <c r="F60" s="33"/>
      <c r="G60" s="487"/>
      <c r="H60" s="487"/>
      <c r="I60" s="35" t="s">
        <v>1267</v>
      </c>
      <c r="J60" s="21">
        <v>2081000</v>
      </c>
      <c r="K60" s="27" t="s">
        <v>15</v>
      </c>
      <c r="L60" s="27">
        <v>1</v>
      </c>
      <c r="M60" s="20" t="s">
        <v>16</v>
      </c>
      <c r="N60" s="27" t="s">
        <v>15</v>
      </c>
      <c r="O60" s="20">
        <v>3</v>
      </c>
      <c r="P60" s="20" t="s">
        <v>17</v>
      </c>
      <c r="Q60" s="27" t="s">
        <v>18</v>
      </c>
      <c r="R60" s="29">
        <f t="shared" si="0"/>
        <v>6243000</v>
      </c>
      <c r="S60" s="7"/>
      <c r="T60" s="7"/>
    </row>
    <row r="61" spans="1:20" s="8" customFormat="1" ht="15" customHeight="1">
      <c r="A61" s="23"/>
      <c r="B61" s="23"/>
      <c r="C61" s="32"/>
      <c r="D61" s="32"/>
      <c r="E61" s="33"/>
      <c r="F61" s="33"/>
      <c r="G61" s="487"/>
      <c r="H61" s="487"/>
      <c r="I61" s="35"/>
      <c r="J61" s="21">
        <v>2177000</v>
      </c>
      <c r="K61" s="27" t="s">
        <v>15</v>
      </c>
      <c r="L61" s="27">
        <v>1</v>
      </c>
      <c r="M61" s="20" t="s">
        <v>16</v>
      </c>
      <c r="N61" s="27" t="s">
        <v>15</v>
      </c>
      <c r="O61" s="20">
        <v>9</v>
      </c>
      <c r="P61" s="20" t="s">
        <v>17</v>
      </c>
      <c r="Q61" s="27" t="s">
        <v>18</v>
      </c>
      <c r="R61" s="29">
        <f t="shared" si="0"/>
        <v>19593000</v>
      </c>
      <c r="S61" s="7"/>
      <c r="T61" s="7"/>
    </row>
    <row r="62" spans="1:20" s="8" customFormat="1" ht="15" customHeight="1">
      <c r="A62" s="23"/>
      <c r="B62" s="23"/>
      <c r="C62" s="32"/>
      <c r="D62" s="32"/>
      <c r="E62" s="33"/>
      <c r="F62" s="33"/>
      <c r="G62" s="487"/>
      <c r="H62" s="487"/>
      <c r="I62" s="35" t="s">
        <v>1268</v>
      </c>
      <c r="J62" s="21">
        <v>2071000</v>
      </c>
      <c r="K62" s="27" t="s">
        <v>15</v>
      </c>
      <c r="L62" s="27">
        <v>1</v>
      </c>
      <c r="M62" s="20" t="s">
        <v>16</v>
      </c>
      <c r="N62" s="27" t="s">
        <v>15</v>
      </c>
      <c r="O62" s="20">
        <v>10</v>
      </c>
      <c r="P62" s="20" t="s">
        <v>17</v>
      </c>
      <c r="Q62" s="27" t="s">
        <v>18</v>
      </c>
      <c r="R62" s="29">
        <f t="shared" si="0"/>
        <v>20710000</v>
      </c>
      <c r="S62" s="7"/>
      <c r="T62" s="7"/>
    </row>
    <row r="63" spans="1:20" s="8" customFormat="1" ht="15" customHeight="1">
      <c r="A63" s="23"/>
      <c r="B63" s="23"/>
      <c r="C63" s="32"/>
      <c r="D63" s="32"/>
      <c r="E63" s="33"/>
      <c r="F63" s="33"/>
      <c r="G63" s="487"/>
      <c r="H63" s="487"/>
      <c r="I63" s="35"/>
      <c r="J63" s="21">
        <v>2081000</v>
      </c>
      <c r="K63" s="27" t="s">
        <v>15</v>
      </c>
      <c r="L63" s="27">
        <v>1</v>
      </c>
      <c r="M63" s="20" t="s">
        <v>16</v>
      </c>
      <c r="N63" s="27" t="s">
        <v>15</v>
      </c>
      <c r="O63" s="20">
        <v>2</v>
      </c>
      <c r="P63" s="20" t="s">
        <v>17</v>
      </c>
      <c r="Q63" s="27" t="s">
        <v>18</v>
      </c>
      <c r="R63" s="29">
        <f t="shared" si="0"/>
        <v>4162000</v>
      </c>
      <c r="S63" s="7"/>
      <c r="T63" s="7"/>
    </row>
    <row r="64" spans="1:20" s="8" customFormat="1" ht="15" customHeight="1">
      <c r="A64" s="23"/>
      <c r="B64" s="23"/>
      <c r="C64" s="32"/>
      <c r="D64" s="32"/>
      <c r="E64" s="33"/>
      <c r="F64" s="33"/>
      <c r="G64" s="487"/>
      <c r="H64" s="487"/>
      <c r="I64" s="35" t="s">
        <v>1269</v>
      </c>
      <c r="J64" s="21">
        <v>2061000</v>
      </c>
      <c r="K64" s="27" t="s">
        <v>15</v>
      </c>
      <c r="L64" s="27">
        <v>1</v>
      </c>
      <c r="M64" s="20" t="s">
        <v>16</v>
      </c>
      <c r="N64" s="27" t="s">
        <v>15</v>
      </c>
      <c r="O64" s="20">
        <v>4</v>
      </c>
      <c r="P64" s="20" t="s">
        <v>17</v>
      </c>
      <c r="Q64" s="27" t="s">
        <v>18</v>
      </c>
      <c r="R64" s="29">
        <f t="shared" si="0"/>
        <v>8244000</v>
      </c>
      <c r="S64" s="7"/>
      <c r="T64" s="7"/>
    </row>
    <row r="65" spans="1:20" s="8" customFormat="1" ht="15" customHeight="1">
      <c r="A65" s="23"/>
      <c r="B65" s="23"/>
      <c r="C65" s="32"/>
      <c r="D65" s="32"/>
      <c r="E65" s="33"/>
      <c r="F65" s="33"/>
      <c r="G65" s="487"/>
      <c r="H65" s="487"/>
      <c r="I65" s="35"/>
      <c r="J65" s="21">
        <v>2071000</v>
      </c>
      <c r="K65" s="27" t="s">
        <v>15</v>
      </c>
      <c r="L65" s="27">
        <v>1</v>
      </c>
      <c r="M65" s="20" t="s">
        <v>16</v>
      </c>
      <c r="N65" s="27" t="s">
        <v>15</v>
      </c>
      <c r="O65" s="20">
        <v>8</v>
      </c>
      <c r="P65" s="20" t="s">
        <v>17</v>
      </c>
      <c r="Q65" s="27" t="s">
        <v>18</v>
      </c>
      <c r="R65" s="29">
        <f t="shared" si="0"/>
        <v>16568000</v>
      </c>
      <c r="S65" s="7"/>
      <c r="T65" s="7"/>
    </row>
    <row r="66" spans="1:20" s="8" customFormat="1" ht="15" customHeight="1">
      <c r="A66" s="23"/>
      <c r="B66" s="23"/>
      <c r="C66" s="32"/>
      <c r="D66" s="32"/>
      <c r="E66" s="33"/>
      <c r="F66" s="33"/>
      <c r="G66" s="487"/>
      <c r="H66" s="487"/>
      <c r="I66" s="35" t="s">
        <v>1266</v>
      </c>
      <c r="J66" s="21">
        <v>2177000</v>
      </c>
      <c r="K66" s="27" t="s">
        <v>15</v>
      </c>
      <c r="L66" s="27">
        <v>1</v>
      </c>
      <c r="M66" s="20" t="s">
        <v>16</v>
      </c>
      <c r="N66" s="27" t="s">
        <v>15</v>
      </c>
      <c r="O66" s="20">
        <v>6</v>
      </c>
      <c r="P66" s="20" t="s">
        <v>17</v>
      </c>
      <c r="Q66" s="27" t="s">
        <v>18</v>
      </c>
      <c r="R66" s="29">
        <f t="shared" si="0"/>
        <v>13062000</v>
      </c>
      <c r="S66" s="7"/>
      <c r="T66" s="7"/>
    </row>
    <row r="67" spans="1:20" s="8" customFormat="1" ht="15" customHeight="1">
      <c r="A67" s="23"/>
      <c r="B67" s="23"/>
      <c r="C67" s="32"/>
      <c r="D67" s="32"/>
      <c r="E67" s="33"/>
      <c r="F67" s="33"/>
      <c r="G67" s="487"/>
      <c r="H67" s="487"/>
      <c r="I67" s="35"/>
      <c r="J67" s="21">
        <v>2255000</v>
      </c>
      <c r="K67" s="27" t="s">
        <v>15</v>
      </c>
      <c r="L67" s="27">
        <v>1</v>
      </c>
      <c r="M67" s="20" t="s">
        <v>16</v>
      </c>
      <c r="N67" s="27" t="s">
        <v>15</v>
      </c>
      <c r="O67" s="20">
        <v>6</v>
      </c>
      <c r="P67" s="20" t="s">
        <v>17</v>
      </c>
      <c r="Q67" s="27" t="s">
        <v>18</v>
      </c>
      <c r="R67" s="29">
        <f t="shared" si="0"/>
        <v>13530000</v>
      </c>
      <c r="S67" s="7"/>
      <c r="T67" s="7"/>
    </row>
    <row r="68" spans="1:20" s="8" customFormat="1" ht="15" customHeight="1">
      <c r="A68" s="23"/>
      <c r="B68" s="23"/>
      <c r="C68" s="32"/>
      <c r="D68" s="32"/>
      <c r="E68" s="33"/>
      <c r="F68" s="33"/>
      <c r="G68" s="487"/>
      <c r="H68" s="487"/>
      <c r="I68" s="35" t="s">
        <v>1270</v>
      </c>
      <c r="J68" s="21">
        <v>2408000</v>
      </c>
      <c r="K68" s="27" t="s">
        <v>15</v>
      </c>
      <c r="L68" s="27">
        <v>1</v>
      </c>
      <c r="M68" s="20" t="s">
        <v>16</v>
      </c>
      <c r="N68" s="27" t="s">
        <v>15</v>
      </c>
      <c r="O68" s="20">
        <v>6</v>
      </c>
      <c r="P68" s="20" t="s">
        <v>17</v>
      </c>
      <c r="Q68" s="27" t="s">
        <v>18</v>
      </c>
      <c r="R68" s="29">
        <f t="shared" si="0"/>
        <v>14448000</v>
      </c>
      <c r="S68" s="7"/>
      <c r="T68" s="7"/>
    </row>
    <row r="69" spans="1:20" s="8" customFormat="1" ht="15" customHeight="1">
      <c r="A69" s="23"/>
      <c r="B69" s="23"/>
      <c r="C69" s="32"/>
      <c r="D69" s="32"/>
      <c r="E69" s="33"/>
      <c r="F69" s="33"/>
      <c r="G69" s="487"/>
      <c r="H69" s="487"/>
      <c r="I69" s="35"/>
      <c r="J69" s="21">
        <v>2477000</v>
      </c>
      <c r="K69" s="27" t="s">
        <v>15</v>
      </c>
      <c r="L69" s="27">
        <v>1</v>
      </c>
      <c r="M69" s="20" t="s">
        <v>16</v>
      </c>
      <c r="N69" s="27" t="s">
        <v>15</v>
      </c>
      <c r="O69" s="20">
        <v>6</v>
      </c>
      <c r="P69" s="20" t="s">
        <v>17</v>
      </c>
      <c r="Q69" s="27" t="s">
        <v>18</v>
      </c>
      <c r="R69" s="29">
        <f t="shared" si="0"/>
        <v>14862000</v>
      </c>
      <c r="S69" s="7"/>
      <c r="T69" s="7"/>
    </row>
    <row r="70" spans="1:20" s="8" customFormat="1" ht="15" customHeight="1">
      <c r="A70" s="23"/>
      <c r="B70" s="23"/>
      <c r="C70" s="32"/>
      <c r="D70" s="32"/>
      <c r="E70" s="33"/>
      <c r="F70" s="33"/>
      <c r="G70" s="487"/>
      <c r="H70" s="487"/>
      <c r="I70" s="35" t="s">
        <v>1271</v>
      </c>
      <c r="J70" s="21">
        <v>2051000</v>
      </c>
      <c r="K70" s="27" t="s">
        <v>15</v>
      </c>
      <c r="L70" s="27">
        <v>1</v>
      </c>
      <c r="M70" s="20" t="s">
        <v>16</v>
      </c>
      <c r="N70" s="27" t="s">
        <v>15</v>
      </c>
      <c r="O70" s="20">
        <v>6</v>
      </c>
      <c r="P70" s="20" t="s">
        <v>17</v>
      </c>
      <c r="Q70" s="27" t="s">
        <v>18</v>
      </c>
      <c r="R70" s="29">
        <f t="shared" si="0"/>
        <v>12306000</v>
      </c>
      <c r="S70" s="7"/>
      <c r="T70" s="7"/>
    </row>
    <row r="71" spans="1:20" s="8" customFormat="1" ht="15" customHeight="1">
      <c r="A71" s="23"/>
      <c r="B71" s="23"/>
      <c r="C71" s="32"/>
      <c r="D71" s="32"/>
      <c r="E71" s="33"/>
      <c r="F71" s="33"/>
      <c r="G71" s="487"/>
      <c r="H71" s="487"/>
      <c r="I71" s="35"/>
      <c r="J71" s="21">
        <v>2061000</v>
      </c>
      <c r="K71" s="27" t="s">
        <v>15</v>
      </c>
      <c r="L71" s="27">
        <v>1</v>
      </c>
      <c r="M71" s="20" t="s">
        <v>16</v>
      </c>
      <c r="N71" s="27" t="s">
        <v>15</v>
      </c>
      <c r="O71" s="20">
        <v>6</v>
      </c>
      <c r="P71" s="20" t="s">
        <v>17</v>
      </c>
      <c r="Q71" s="27" t="s">
        <v>18</v>
      </c>
      <c r="R71" s="29">
        <f t="shared" si="0"/>
        <v>12366000</v>
      </c>
      <c r="S71" s="7"/>
      <c r="T71" s="7"/>
    </row>
    <row r="72" spans="1:20" s="8" customFormat="1" ht="15" customHeight="1">
      <c r="A72" s="23"/>
      <c r="B72" s="23"/>
      <c r="C72" s="32"/>
      <c r="D72" s="32"/>
      <c r="E72" s="33"/>
      <c r="F72" s="33"/>
      <c r="G72" s="487"/>
      <c r="H72" s="487"/>
      <c r="I72" s="35" t="s">
        <v>1271</v>
      </c>
      <c r="J72" s="21">
        <v>2051000</v>
      </c>
      <c r="K72" s="27" t="s">
        <v>15</v>
      </c>
      <c r="L72" s="27">
        <v>1</v>
      </c>
      <c r="M72" s="20" t="s">
        <v>16</v>
      </c>
      <c r="N72" s="27" t="s">
        <v>15</v>
      </c>
      <c r="O72" s="20">
        <v>8</v>
      </c>
      <c r="P72" s="20" t="s">
        <v>17</v>
      </c>
      <c r="Q72" s="27" t="s">
        <v>18</v>
      </c>
      <c r="R72" s="29">
        <f t="shared" si="0"/>
        <v>16408000</v>
      </c>
      <c r="S72" s="7"/>
      <c r="T72" s="7"/>
    </row>
    <row r="73" spans="1:20" s="8" customFormat="1" ht="15" customHeight="1">
      <c r="A73" s="23"/>
      <c r="B73" s="23"/>
      <c r="C73" s="32"/>
      <c r="D73" s="32"/>
      <c r="E73" s="33"/>
      <c r="F73" s="33"/>
      <c r="G73" s="487"/>
      <c r="H73" s="487"/>
      <c r="I73" s="35"/>
      <c r="J73" s="21">
        <v>2061000</v>
      </c>
      <c r="K73" s="27" t="s">
        <v>15</v>
      </c>
      <c r="L73" s="27">
        <v>1</v>
      </c>
      <c r="M73" s="20" t="s">
        <v>16</v>
      </c>
      <c r="N73" s="27" t="s">
        <v>15</v>
      </c>
      <c r="O73" s="20">
        <v>4</v>
      </c>
      <c r="P73" s="20" t="s">
        <v>17</v>
      </c>
      <c r="Q73" s="27" t="s">
        <v>18</v>
      </c>
      <c r="R73" s="29">
        <f t="shared" si="0"/>
        <v>8244000</v>
      </c>
      <c r="S73" s="7"/>
      <c r="T73" s="7"/>
    </row>
    <row r="74" spans="1:20" s="8" customFormat="1" ht="15" customHeight="1">
      <c r="A74" s="23"/>
      <c r="B74" s="23"/>
      <c r="C74" s="32"/>
      <c r="D74" s="32"/>
      <c r="E74" s="33"/>
      <c r="F74" s="33"/>
      <c r="G74" s="487"/>
      <c r="H74" s="487"/>
      <c r="I74" s="35" t="s">
        <v>1272</v>
      </c>
      <c r="J74" s="21">
        <v>3096000</v>
      </c>
      <c r="K74" s="27" t="s">
        <v>15</v>
      </c>
      <c r="L74" s="27">
        <v>1</v>
      </c>
      <c r="M74" s="20" t="s">
        <v>16</v>
      </c>
      <c r="N74" s="27" t="s">
        <v>15</v>
      </c>
      <c r="O74" s="20">
        <v>4</v>
      </c>
      <c r="P74" s="20" t="s">
        <v>17</v>
      </c>
      <c r="Q74" s="27" t="s">
        <v>18</v>
      </c>
      <c r="R74" s="29">
        <f t="shared" si="0"/>
        <v>12384000</v>
      </c>
      <c r="S74" s="7"/>
      <c r="T74" s="7"/>
    </row>
    <row r="75" spans="1:20" s="8" customFormat="1" ht="15" customHeight="1">
      <c r="A75" s="23"/>
      <c r="B75" s="23"/>
      <c r="C75" s="32"/>
      <c r="D75" s="32"/>
      <c r="E75" s="33"/>
      <c r="F75" s="33"/>
      <c r="G75" s="487"/>
      <c r="H75" s="487"/>
      <c r="I75" s="35"/>
      <c r="J75" s="21">
        <v>3147000</v>
      </c>
      <c r="K75" s="27" t="s">
        <v>15</v>
      </c>
      <c r="L75" s="27">
        <v>1</v>
      </c>
      <c r="M75" s="20" t="s">
        <v>16</v>
      </c>
      <c r="N75" s="27" t="s">
        <v>15</v>
      </c>
      <c r="O75" s="20">
        <v>8</v>
      </c>
      <c r="P75" s="20" t="s">
        <v>17</v>
      </c>
      <c r="Q75" s="27" t="s">
        <v>18</v>
      </c>
      <c r="R75" s="29">
        <f t="shared" si="0"/>
        <v>25176000</v>
      </c>
      <c r="S75" s="7"/>
      <c r="T75" s="7"/>
    </row>
    <row r="76" spans="1:20" s="8" customFormat="1" ht="15" customHeight="1">
      <c r="A76" s="23"/>
      <c r="B76" s="23"/>
      <c r="C76" s="32"/>
      <c r="D76" s="32"/>
      <c r="E76" s="33"/>
      <c r="F76" s="33"/>
      <c r="G76" s="487"/>
      <c r="H76" s="487"/>
      <c r="I76" s="35" t="s">
        <v>1273</v>
      </c>
      <c r="J76" s="21">
        <v>3296000</v>
      </c>
      <c r="K76" s="27" t="s">
        <v>15</v>
      </c>
      <c r="L76" s="27">
        <v>1</v>
      </c>
      <c r="M76" s="20" t="s">
        <v>16</v>
      </c>
      <c r="N76" s="27" t="s">
        <v>15</v>
      </c>
      <c r="O76" s="20">
        <v>4</v>
      </c>
      <c r="P76" s="20" t="s">
        <v>17</v>
      </c>
      <c r="Q76" s="27" t="s">
        <v>18</v>
      </c>
      <c r="R76" s="29">
        <f t="shared" si="0"/>
        <v>13184000</v>
      </c>
      <c r="S76" s="7"/>
      <c r="T76" s="7"/>
    </row>
    <row r="77" spans="1:20" s="8" customFormat="1" ht="15" customHeight="1">
      <c r="A77" s="23"/>
      <c r="B77" s="23"/>
      <c r="C77" s="32"/>
      <c r="D77" s="32"/>
      <c r="E77" s="33"/>
      <c r="F77" s="33"/>
      <c r="G77" s="487"/>
      <c r="H77" s="487"/>
      <c r="I77" s="35"/>
      <c r="J77" s="21">
        <v>3347000</v>
      </c>
      <c r="K77" s="27" t="s">
        <v>15</v>
      </c>
      <c r="L77" s="27">
        <v>1</v>
      </c>
      <c r="M77" s="20" t="s">
        <v>16</v>
      </c>
      <c r="N77" s="27" t="s">
        <v>15</v>
      </c>
      <c r="O77" s="20">
        <v>8</v>
      </c>
      <c r="P77" s="20" t="s">
        <v>17</v>
      </c>
      <c r="Q77" s="27" t="s">
        <v>18</v>
      </c>
      <c r="R77" s="29">
        <f t="shared" si="0"/>
        <v>26776000</v>
      </c>
      <c r="S77" s="7"/>
      <c r="T77" s="7"/>
    </row>
    <row r="78" spans="1:20" s="8" customFormat="1" ht="15" customHeight="1">
      <c r="A78" s="23"/>
      <c r="B78" s="23"/>
      <c r="C78" s="32"/>
      <c r="D78" s="32"/>
      <c r="E78" s="33"/>
      <c r="F78" s="33"/>
      <c r="G78" s="487"/>
      <c r="H78" s="487"/>
      <c r="I78" s="20" t="s">
        <v>1274</v>
      </c>
      <c r="J78" s="21">
        <v>3347000</v>
      </c>
      <c r="K78" s="27" t="s">
        <v>15</v>
      </c>
      <c r="L78" s="27">
        <v>1</v>
      </c>
      <c r="M78" s="20" t="s">
        <v>16</v>
      </c>
      <c r="N78" s="27" t="s">
        <v>15</v>
      </c>
      <c r="O78" s="20">
        <v>5</v>
      </c>
      <c r="P78" s="20" t="s">
        <v>17</v>
      </c>
      <c r="Q78" s="27" t="s">
        <v>18</v>
      </c>
      <c r="R78" s="29">
        <f t="shared" ref="R78:R87" si="1">J78*L78*O78</f>
        <v>16735000</v>
      </c>
      <c r="S78" s="7"/>
      <c r="T78" s="7"/>
    </row>
    <row r="79" spans="1:20" s="8" customFormat="1" ht="15" customHeight="1">
      <c r="A79" s="23"/>
      <c r="B79" s="23"/>
      <c r="C79" s="32"/>
      <c r="D79" s="32"/>
      <c r="E79" s="33"/>
      <c r="F79" s="33"/>
      <c r="G79" s="487"/>
      <c r="H79" s="487"/>
      <c r="I79" s="20"/>
      <c r="J79" s="21">
        <v>3400000</v>
      </c>
      <c r="K79" s="20" t="s">
        <v>15</v>
      </c>
      <c r="L79" s="27">
        <v>1</v>
      </c>
      <c r="M79" s="20" t="s">
        <v>16</v>
      </c>
      <c r="N79" s="20" t="s">
        <v>15</v>
      </c>
      <c r="O79" s="20">
        <v>7</v>
      </c>
      <c r="P79" s="20" t="s">
        <v>17</v>
      </c>
      <c r="Q79" s="20" t="s">
        <v>18</v>
      </c>
      <c r="R79" s="29">
        <f t="shared" si="1"/>
        <v>23800000</v>
      </c>
      <c r="S79" s="7"/>
      <c r="T79" s="7"/>
    </row>
    <row r="80" spans="1:20" s="8" customFormat="1" ht="15" customHeight="1">
      <c r="A80" s="23"/>
      <c r="B80" s="23"/>
      <c r="C80" s="32"/>
      <c r="D80" s="32"/>
      <c r="E80" s="33"/>
      <c r="F80" s="33"/>
      <c r="G80" s="487"/>
      <c r="H80" s="487"/>
      <c r="I80" s="20" t="s">
        <v>1275</v>
      </c>
      <c r="J80" s="21">
        <v>2209000</v>
      </c>
      <c r="K80" s="27" t="s">
        <v>15</v>
      </c>
      <c r="L80" s="27">
        <v>1</v>
      </c>
      <c r="M80" s="20" t="s">
        <v>16</v>
      </c>
      <c r="N80" s="27" t="s">
        <v>15</v>
      </c>
      <c r="O80" s="20">
        <v>2</v>
      </c>
      <c r="P80" s="20" t="s">
        <v>17</v>
      </c>
      <c r="Q80" s="27" t="s">
        <v>18</v>
      </c>
      <c r="R80" s="29">
        <f t="shared" si="1"/>
        <v>4418000</v>
      </c>
      <c r="S80" s="7"/>
      <c r="T80" s="7"/>
    </row>
    <row r="81" spans="1:20" s="8" customFormat="1" ht="15" customHeight="1">
      <c r="A81" s="23"/>
      <c r="B81" s="23"/>
      <c r="C81" s="32"/>
      <c r="D81" s="32"/>
      <c r="E81" s="33"/>
      <c r="F81" s="33"/>
      <c r="G81" s="487"/>
      <c r="H81" s="487"/>
      <c r="I81" s="35"/>
      <c r="J81" s="21">
        <v>2288000</v>
      </c>
      <c r="K81" s="27" t="s">
        <v>15</v>
      </c>
      <c r="L81" s="27">
        <v>1</v>
      </c>
      <c r="M81" s="20" t="s">
        <v>16</v>
      </c>
      <c r="N81" s="27" t="s">
        <v>15</v>
      </c>
      <c r="O81" s="20">
        <v>10</v>
      </c>
      <c r="P81" s="20" t="s">
        <v>17</v>
      </c>
      <c r="Q81" s="27" t="s">
        <v>18</v>
      </c>
      <c r="R81" s="29">
        <f t="shared" si="1"/>
        <v>22880000</v>
      </c>
      <c r="S81" s="7"/>
      <c r="T81" s="7"/>
    </row>
    <row r="82" spans="1:20" s="8" customFormat="1" ht="15" customHeight="1">
      <c r="A82" s="23"/>
      <c r="B82" s="23"/>
      <c r="C82" s="32"/>
      <c r="D82" s="32"/>
      <c r="E82" s="33"/>
      <c r="F82" s="33"/>
      <c r="G82" s="487"/>
      <c r="H82" s="487"/>
      <c r="I82" s="35" t="s">
        <v>1276</v>
      </c>
      <c r="J82" s="21">
        <v>2288000</v>
      </c>
      <c r="K82" s="27" t="s">
        <v>15</v>
      </c>
      <c r="L82" s="27">
        <v>1</v>
      </c>
      <c r="M82" s="20" t="s">
        <v>16</v>
      </c>
      <c r="N82" s="27" t="s">
        <v>15</v>
      </c>
      <c r="O82" s="20">
        <v>1</v>
      </c>
      <c r="P82" s="20" t="s">
        <v>17</v>
      </c>
      <c r="Q82" s="27" t="s">
        <v>18</v>
      </c>
      <c r="R82" s="29">
        <f t="shared" si="1"/>
        <v>2288000</v>
      </c>
      <c r="S82" s="7"/>
      <c r="T82" s="7"/>
    </row>
    <row r="83" spans="1:20" s="8" customFormat="1" ht="15" customHeight="1">
      <c r="A83" s="23"/>
      <c r="B83" s="23"/>
      <c r="C83" s="32"/>
      <c r="D83" s="32"/>
      <c r="E83" s="33"/>
      <c r="F83" s="33"/>
      <c r="G83" s="487"/>
      <c r="H83" s="487"/>
      <c r="I83" s="35"/>
      <c r="J83" s="21">
        <v>2373000</v>
      </c>
      <c r="K83" s="27" t="s">
        <v>15</v>
      </c>
      <c r="L83" s="27">
        <v>1</v>
      </c>
      <c r="M83" s="20" t="s">
        <v>16</v>
      </c>
      <c r="N83" s="27" t="s">
        <v>15</v>
      </c>
      <c r="O83" s="20">
        <v>11</v>
      </c>
      <c r="P83" s="20" t="s">
        <v>17</v>
      </c>
      <c r="Q83" s="27" t="s">
        <v>18</v>
      </c>
      <c r="R83" s="29">
        <f t="shared" si="1"/>
        <v>26103000</v>
      </c>
      <c r="S83" s="7"/>
      <c r="T83" s="7"/>
    </row>
    <row r="84" spans="1:20" s="8" customFormat="1" ht="15" customHeight="1">
      <c r="A84" s="23"/>
      <c r="B84" s="23"/>
      <c r="C84" s="32"/>
      <c r="D84" s="32"/>
      <c r="E84" s="33"/>
      <c r="F84" s="33"/>
      <c r="G84" s="487"/>
      <c r="H84" s="487"/>
      <c r="I84" s="35" t="s">
        <v>1277</v>
      </c>
      <c r="J84" s="21">
        <v>2128000</v>
      </c>
      <c r="K84" s="27" t="s">
        <v>15</v>
      </c>
      <c r="L84" s="27">
        <v>1</v>
      </c>
      <c r="M84" s="20" t="s">
        <v>16</v>
      </c>
      <c r="N84" s="27" t="s">
        <v>15</v>
      </c>
      <c r="O84" s="20">
        <v>10</v>
      </c>
      <c r="P84" s="20" t="s">
        <v>17</v>
      </c>
      <c r="Q84" s="27" t="s">
        <v>18</v>
      </c>
      <c r="R84" s="29">
        <f t="shared" si="1"/>
        <v>21280000</v>
      </c>
      <c r="S84" s="7"/>
      <c r="T84" s="7"/>
    </row>
    <row r="85" spans="1:20" s="8" customFormat="1" ht="15" customHeight="1">
      <c r="A85" s="23"/>
      <c r="B85" s="23"/>
      <c r="C85" s="32"/>
      <c r="D85" s="32"/>
      <c r="E85" s="33"/>
      <c r="F85" s="33"/>
      <c r="G85" s="487"/>
      <c r="H85" s="487"/>
      <c r="I85" s="35"/>
      <c r="J85" s="21">
        <v>2209000</v>
      </c>
      <c r="K85" s="27" t="s">
        <v>15</v>
      </c>
      <c r="L85" s="27">
        <v>1</v>
      </c>
      <c r="M85" s="20" t="s">
        <v>16</v>
      </c>
      <c r="N85" s="27" t="s">
        <v>15</v>
      </c>
      <c r="O85" s="20">
        <v>2</v>
      </c>
      <c r="P85" s="20" t="s">
        <v>17</v>
      </c>
      <c r="Q85" s="27" t="s">
        <v>18</v>
      </c>
      <c r="R85" s="29">
        <f t="shared" si="1"/>
        <v>4418000</v>
      </c>
      <c r="S85" s="7"/>
      <c r="T85" s="7"/>
    </row>
    <row r="86" spans="1:20" s="8" customFormat="1" ht="15" customHeight="1">
      <c r="A86" s="23"/>
      <c r="B86" s="23"/>
      <c r="C86" s="32"/>
      <c r="D86" s="32"/>
      <c r="E86" s="33"/>
      <c r="F86" s="33"/>
      <c r="G86" s="487"/>
      <c r="H86" s="487"/>
      <c r="I86" s="35" t="s">
        <v>1278</v>
      </c>
      <c r="J86" s="21">
        <v>1629830</v>
      </c>
      <c r="K86" s="27" t="s">
        <v>15</v>
      </c>
      <c r="L86" s="27">
        <v>1</v>
      </c>
      <c r="M86" s="20" t="s">
        <v>16</v>
      </c>
      <c r="N86" s="27" t="s">
        <v>15</v>
      </c>
      <c r="O86" s="20">
        <v>1</v>
      </c>
      <c r="P86" s="20" t="s">
        <v>17</v>
      </c>
      <c r="Q86" s="27" t="s">
        <v>18</v>
      </c>
      <c r="R86" s="29">
        <f t="shared" si="1"/>
        <v>1629830</v>
      </c>
      <c r="S86" s="7"/>
      <c r="T86" s="7"/>
    </row>
    <row r="87" spans="1:20" s="8" customFormat="1" ht="15" customHeight="1">
      <c r="A87" s="23"/>
      <c r="B87" s="23"/>
      <c r="C87" s="32"/>
      <c r="D87" s="32"/>
      <c r="E87" s="33"/>
      <c r="F87" s="33"/>
      <c r="G87" s="487"/>
      <c r="H87" s="487"/>
      <c r="I87" s="35"/>
      <c r="J87" s="21">
        <v>2021000</v>
      </c>
      <c r="K87" s="27" t="s">
        <v>15</v>
      </c>
      <c r="L87" s="27">
        <v>1</v>
      </c>
      <c r="M87" s="20" t="s">
        <v>16</v>
      </c>
      <c r="N87" s="27" t="s">
        <v>15</v>
      </c>
      <c r="O87" s="20">
        <v>11</v>
      </c>
      <c r="P87" s="20" t="s">
        <v>17</v>
      </c>
      <c r="Q87" s="27" t="s">
        <v>18</v>
      </c>
      <c r="R87" s="29">
        <f t="shared" si="1"/>
        <v>22231000</v>
      </c>
      <c r="S87" s="7"/>
      <c r="T87" s="7"/>
    </row>
    <row r="88" spans="1:20" s="8" customFormat="1" ht="15" customHeight="1">
      <c r="A88" s="23"/>
      <c r="B88" s="23"/>
      <c r="C88" s="32"/>
      <c r="D88" s="32"/>
      <c r="E88" s="33"/>
      <c r="F88" s="33"/>
      <c r="G88" s="487"/>
      <c r="H88" s="487"/>
      <c r="I88" s="35"/>
      <c r="J88" s="21"/>
      <c r="K88" s="27"/>
      <c r="L88" s="27"/>
      <c r="M88" s="20"/>
      <c r="N88" s="27"/>
      <c r="O88" s="20"/>
      <c r="P88" s="20"/>
      <c r="Q88" s="27"/>
      <c r="R88" s="29"/>
      <c r="S88" s="7"/>
      <c r="T88" s="7"/>
    </row>
    <row r="89" spans="1:20" s="8" customFormat="1" ht="15" customHeight="1">
      <c r="A89" s="23"/>
      <c r="B89" s="23"/>
      <c r="C89" s="32"/>
      <c r="D89" s="32"/>
      <c r="E89" s="33"/>
      <c r="F89" s="33"/>
      <c r="G89" s="487"/>
      <c r="H89" s="487"/>
      <c r="I89" s="35"/>
      <c r="J89" s="21"/>
      <c r="K89" s="27"/>
      <c r="L89" s="27"/>
      <c r="M89" s="20"/>
      <c r="N89" s="27"/>
      <c r="O89" s="20"/>
      <c r="P89" s="20"/>
      <c r="Q89" s="27"/>
      <c r="R89" s="29"/>
      <c r="S89" s="7"/>
      <c r="T89" s="7"/>
    </row>
    <row r="90" spans="1:20" s="8" customFormat="1" ht="15" customHeight="1">
      <c r="A90" s="23"/>
      <c r="B90" s="23"/>
      <c r="C90" s="32"/>
      <c r="D90" s="32"/>
      <c r="E90" s="33"/>
      <c r="F90" s="33"/>
      <c r="G90" s="487"/>
      <c r="H90" s="39"/>
      <c r="I90" s="40" t="s">
        <v>1279</v>
      </c>
      <c r="J90" s="41">
        <v>1272000</v>
      </c>
      <c r="K90" s="40" t="s">
        <v>20</v>
      </c>
      <c r="L90" s="42">
        <v>1</v>
      </c>
      <c r="M90" s="40" t="s">
        <v>21</v>
      </c>
      <c r="N90" s="40" t="s">
        <v>20</v>
      </c>
      <c r="O90" s="40">
        <v>1</v>
      </c>
      <c r="P90" s="20" t="s">
        <v>17</v>
      </c>
      <c r="Q90" s="40" t="s">
        <v>22</v>
      </c>
      <c r="R90" s="43">
        <f>J90*L90*O90</f>
        <v>1272000</v>
      </c>
      <c r="S90" s="7"/>
      <c r="T90" s="7"/>
    </row>
    <row r="91" spans="1:20" s="8" customFormat="1" ht="15" customHeight="1">
      <c r="A91" s="23"/>
      <c r="B91" s="23"/>
      <c r="C91" s="32"/>
      <c r="D91" s="32"/>
      <c r="E91" s="33"/>
      <c r="F91" s="33"/>
      <c r="G91" s="487"/>
      <c r="H91" s="39"/>
      <c r="I91" s="40" t="s">
        <v>1280</v>
      </c>
      <c r="J91" s="41">
        <v>40000</v>
      </c>
      <c r="K91" s="40" t="s">
        <v>20</v>
      </c>
      <c r="L91" s="42">
        <v>1</v>
      </c>
      <c r="M91" s="40" t="s">
        <v>21</v>
      </c>
      <c r="N91" s="40" t="s">
        <v>20</v>
      </c>
      <c r="O91" s="40">
        <v>1</v>
      </c>
      <c r="P91" s="20" t="s">
        <v>17</v>
      </c>
      <c r="Q91" s="40" t="s">
        <v>22</v>
      </c>
      <c r="R91" s="43">
        <f>J91*L91*O91</f>
        <v>40000</v>
      </c>
      <c r="S91" s="7"/>
      <c r="T91" s="7"/>
    </row>
    <row r="92" spans="1:20" s="11" customFormat="1" ht="12.75" customHeight="1">
      <c r="A92" s="38"/>
      <c r="B92" s="38"/>
      <c r="C92" s="32"/>
      <c r="D92" s="32"/>
      <c r="E92" s="33"/>
      <c r="F92" s="33"/>
      <c r="G92" s="487"/>
      <c r="H92" s="39"/>
      <c r="I92" s="40" t="s">
        <v>1281</v>
      </c>
      <c r="J92" s="41">
        <v>1800000</v>
      </c>
      <c r="K92" s="40" t="s">
        <v>20</v>
      </c>
      <c r="L92" s="42">
        <v>1</v>
      </c>
      <c r="M92" s="40" t="s">
        <v>21</v>
      </c>
      <c r="N92" s="40" t="s">
        <v>20</v>
      </c>
      <c r="O92" s="40">
        <v>2</v>
      </c>
      <c r="P92" s="40" t="s">
        <v>19</v>
      </c>
      <c r="Q92" s="40" t="s">
        <v>22</v>
      </c>
      <c r="R92" s="43">
        <f>J92*L92*O92</f>
        <v>3600000</v>
      </c>
      <c r="S92" s="10"/>
      <c r="T92" s="10"/>
    </row>
    <row r="93" spans="1:20" s="11" customFormat="1" ht="12.75" customHeight="1">
      <c r="A93" s="38"/>
      <c r="B93" s="38"/>
      <c r="C93" s="32"/>
      <c r="D93" s="32"/>
      <c r="E93" s="33"/>
      <c r="F93" s="33"/>
      <c r="G93" s="763"/>
      <c r="H93" s="39"/>
      <c r="I93" s="40" t="s">
        <v>1282</v>
      </c>
      <c r="J93" s="41">
        <f>79900+597100</f>
        <v>677000</v>
      </c>
      <c r="K93" s="40" t="s">
        <v>20</v>
      </c>
      <c r="L93" s="42">
        <v>1</v>
      </c>
      <c r="M93" s="40" t="s">
        <v>21</v>
      </c>
      <c r="N93" s="40" t="s">
        <v>20</v>
      </c>
      <c r="O93" s="40">
        <v>1</v>
      </c>
      <c r="P93" s="40" t="s">
        <v>1206</v>
      </c>
      <c r="Q93" s="40" t="s">
        <v>22</v>
      </c>
      <c r="R93" s="43">
        <f>J93*L93*O93</f>
        <v>677000</v>
      </c>
      <c r="S93" s="10"/>
      <c r="T93" s="10"/>
    </row>
    <row r="94" spans="1:20" s="11" customFormat="1" ht="16.5" customHeight="1">
      <c r="A94" s="38"/>
      <c r="B94" s="38"/>
      <c r="C94" s="32"/>
      <c r="D94" s="32"/>
      <c r="E94" s="33"/>
      <c r="F94" s="33"/>
      <c r="G94" s="487"/>
      <c r="H94" s="39"/>
      <c r="I94" s="35"/>
      <c r="J94" s="21"/>
      <c r="K94" s="27"/>
      <c r="L94" s="27"/>
      <c r="M94" s="20"/>
      <c r="N94" s="27"/>
      <c r="O94" s="20"/>
      <c r="P94" s="20" t="s">
        <v>23</v>
      </c>
      <c r="Q94" s="27"/>
      <c r="R94" s="29">
        <f>SUM(R12:R93)</f>
        <v>1258058830</v>
      </c>
      <c r="S94" s="10">
        <f>R94-R92-R90-R91-R93</f>
        <v>1252469830</v>
      </c>
      <c r="T94" s="10">
        <f>R94-S94</f>
        <v>5589000</v>
      </c>
    </row>
    <row r="95" spans="1:20" s="8" customFormat="1" ht="15" customHeight="1">
      <c r="A95" s="23"/>
      <c r="B95" s="23"/>
      <c r="C95" s="487"/>
      <c r="D95" s="487"/>
      <c r="E95" s="44"/>
      <c r="F95" s="44"/>
      <c r="G95" s="517"/>
      <c r="H95" s="45"/>
      <c r="I95" s="35"/>
      <c r="J95" s="46"/>
      <c r="K95" s="27"/>
      <c r="L95" s="47"/>
      <c r="M95" s="47"/>
      <c r="N95" s="48"/>
      <c r="O95" s="47"/>
      <c r="P95" s="49"/>
      <c r="Q95" s="27"/>
      <c r="R95" s="29"/>
      <c r="S95" s="7">
        <f>R95</f>
        <v>0</v>
      </c>
      <c r="T95" s="7"/>
    </row>
    <row r="96" spans="1:20" s="8" customFormat="1" ht="15" customHeight="1">
      <c r="A96" s="23"/>
      <c r="B96" s="23"/>
      <c r="C96" s="487"/>
      <c r="D96" s="487"/>
      <c r="E96" s="44"/>
      <c r="F96" s="44"/>
      <c r="G96" s="517"/>
      <c r="H96" s="45"/>
      <c r="I96" s="20"/>
      <c r="J96" s="46"/>
      <c r="K96" s="27"/>
      <c r="L96" s="47"/>
      <c r="M96" s="47"/>
      <c r="N96" s="48"/>
      <c r="O96" s="47"/>
      <c r="P96" s="49"/>
      <c r="Q96" s="27"/>
      <c r="R96" s="29"/>
      <c r="S96" s="7"/>
      <c r="T96" s="7"/>
    </row>
    <row r="97" spans="1:20" s="8" customFormat="1" ht="15" customHeight="1">
      <c r="A97" s="23"/>
      <c r="B97" s="23"/>
      <c r="C97" s="488"/>
      <c r="D97" s="488"/>
      <c r="E97" s="50"/>
      <c r="F97" s="50"/>
      <c r="G97" s="519"/>
      <c r="H97" s="51"/>
      <c r="I97" s="18"/>
      <c r="J97" s="52"/>
      <c r="K97" s="53"/>
      <c r="L97" s="54"/>
      <c r="M97" s="55"/>
      <c r="N97" s="56"/>
      <c r="O97" s="56"/>
      <c r="P97" s="56" t="s">
        <v>23</v>
      </c>
      <c r="Q97" s="53"/>
      <c r="R97" s="57">
        <f>SUM(R94,R95)</f>
        <v>1258058830</v>
      </c>
      <c r="S97" s="7">
        <f>SUM(S94,S95)</f>
        <v>1252469830</v>
      </c>
      <c r="T97" s="7">
        <f>SUM(T94,T95)</f>
        <v>5589000</v>
      </c>
    </row>
    <row r="98" spans="1:20" s="8" customFormat="1" ht="15" customHeight="1">
      <c r="A98" s="23"/>
      <c r="B98" s="23"/>
      <c r="C98" s="895" t="s">
        <v>26</v>
      </c>
      <c r="D98" s="486"/>
      <c r="E98" s="508">
        <v>212549</v>
      </c>
      <c r="F98" s="58">
        <f>S130/1000</f>
        <v>195817.52</v>
      </c>
      <c r="G98" s="908">
        <f>F98+F100-E98-E100</f>
        <v>-1697.4899999999907</v>
      </c>
      <c r="H98" s="910">
        <f>G98/(E98+E100)</f>
        <v>-5.1985569517135916E-3</v>
      </c>
      <c r="I98" s="175" t="s">
        <v>27</v>
      </c>
      <c r="J98" s="452"/>
      <c r="K98" s="112"/>
      <c r="L98" s="453"/>
      <c r="M98" s="454"/>
      <c r="N98" s="455"/>
      <c r="O98" s="456"/>
      <c r="P98" s="453"/>
      <c r="Q98" s="451" t="s">
        <v>22</v>
      </c>
      <c r="R98" s="114">
        <v>125280750</v>
      </c>
      <c r="S98" s="7"/>
      <c r="T98" s="7"/>
    </row>
    <row r="99" spans="1:20" s="8" customFormat="1" ht="15" customHeight="1">
      <c r="A99" s="23"/>
      <c r="B99" s="23"/>
      <c r="C99" s="901"/>
      <c r="D99" s="487"/>
      <c r="E99" s="510"/>
      <c r="F99" s="447"/>
      <c r="G99" s="909"/>
      <c r="H99" s="911"/>
      <c r="I99" s="35" t="s">
        <v>1283</v>
      </c>
      <c r="J99" s="46"/>
      <c r="K99" s="20"/>
      <c r="L99" s="59"/>
      <c r="M99" s="47"/>
      <c r="N99" s="60"/>
      <c r="O99" s="61"/>
      <c r="P99" s="59"/>
      <c r="Q99" s="27" t="s">
        <v>22</v>
      </c>
      <c r="R99" s="64">
        <v>136200</v>
      </c>
      <c r="S99" s="7"/>
      <c r="T99" s="7"/>
    </row>
    <row r="100" spans="1:20" s="8" customFormat="1" ht="15" customHeight="1">
      <c r="A100" s="23"/>
      <c r="B100" s="23"/>
      <c r="C100" s="901"/>
      <c r="D100" s="487"/>
      <c r="E100" s="503">
        <v>113982</v>
      </c>
      <c r="F100" s="62">
        <f>T130/1000</f>
        <v>129015.99</v>
      </c>
      <c r="G100" s="909"/>
      <c r="H100" s="911"/>
      <c r="I100" s="35" t="s">
        <v>28</v>
      </c>
      <c r="J100" s="63">
        <v>300000</v>
      </c>
      <c r="K100" s="27" t="s">
        <v>20</v>
      </c>
      <c r="L100" s="59" t="s">
        <v>1191</v>
      </c>
      <c r="M100" s="59" t="s">
        <v>20</v>
      </c>
      <c r="N100" s="48">
        <v>1</v>
      </c>
      <c r="O100" s="59" t="s">
        <v>25</v>
      </c>
      <c r="P100" s="59"/>
      <c r="Q100" s="27" t="s">
        <v>22</v>
      </c>
      <c r="R100" s="64">
        <f>300000*38</f>
        <v>11400000</v>
      </c>
      <c r="S100" s="7"/>
      <c r="T100" s="7"/>
    </row>
    <row r="101" spans="1:20" s="8" customFormat="1" ht="15" hidden="1" customHeight="1">
      <c r="A101" s="23"/>
      <c r="B101" s="23"/>
      <c r="C101" s="720"/>
      <c r="D101" s="720"/>
      <c r="E101" s="723"/>
      <c r="F101" s="729"/>
      <c r="G101" s="721"/>
      <c r="H101" s="722"/>
      <c r="I101" s="35"/>
      <c r="J101" s="63"/>
      <c r="K101" s="27"/>
      <c r="L101" s="59"/>
      <c r="M101" s="59"/>
      <c r="N101" s="48"/>
      <c r="O101" s="59"/>
      <c r="P101" s="59"/>
      <c r="Q101" s="27"/>
      <c r="R101" s="64"/>
      <c r="S101" s="7"/>
      <c r="T101" s="7"/>
    </row>
    <row r="102" spans="1:20" s="8" customFormat="1" ht="15" customHeight="1">
      <c r="A102" s="23"/>
      <c r="B102" s="23"/>
      <c r="C102" s="487"/>
      <c r="D102" s="487"/>
      <c r="E102" s="44"/>
      <c r="F102" s="44"/>
      <c r="G102" s="490"/>
      <c r="H102" s="491"/>
      <c r="I102" s="35" t="s">
        <v>30</v>
      </c>
      <c r="J102" s="63">
        <v>300000</v>
      </c>
      <c r="K102" s="27" t="s">
        <v>20</v>
      </c>
      <c r="L102" s="59" t="s">
        <v>29</v>
      </c>
      <c r="M102" s="59" t="s">
        <v>20</v>
      </c>
      <c r="N102" s="48">
        <v>1</v>
      </c>
      <c r="O102" s="59" t="s">
        <v>25</v>
      </c>
      <c r="P102" s="59"/>
      <c r="Q102" s="27" t="s">
        <v>22</v>
      </c>
      <c r="R102" s="64">
        <v>11400000</v>
      </c>
      <c r="S102" s="7"/>
      <c r="T102" s="7"/>
    </row>
    <row r="103" spans="1:20" s="8" customFormat="1" ht="15" customHeight="1">
      <c r="A103" s="23"/>
      <c r="B103" s="23"/>
      <c r="C103" s="487"/>
      <c r="D103" s="487"/>
      <c r="E103" s="44"/>
      <c r="F103" s="44"/>
      <c r="G103" s="490"/>
      <c r="H103" s="491"/>
      <c r="I103" s="35" t="s">
        <v>31</v>
      </c>
      <c r="J103" s="63"/>
      <c r="K103" s="27"/>
      <c r="L103" s="59"/>
      <c r="M103" s="59"/>
      <c r="N103" s="48"/>
      <c r="O103" s="59"/>
      <c r="P103" s="59"/>
      <c r="Q103" s="27" t="s">
        <v>22</v>
      </c>
      <c r="R103" s="64">
        <v>51981870</v>
      </c>
      <c r="S103" s="7"/>
      <c r="T103" s="7"/>
    </row>
    <row r="104" spans="1:20" ht="15" customHeight="1">
      <c r="A104" s="23"/>
      <c r="B104" s="23"/>
      <c r="C104" s="487"/>
      <c r="D104" s="487"/>
      <c r="E104" s="44"/>
      <c r="F104" s="44"/>
      <c r="G104" s="490"/>
      <c r="H104" s="491"/>
      <c r="I104" s="112" t="s">
        <v>32</v>
      </c>
      <c r="J104" s="113">
        <v>40000</v>
      </c>
      <c r="K104" s="451" t="s">
        <v>24</v>
      </c>
      <c r="L104" s="451">
        <v>21</v>
      </c>
      <c r="M104" s="112" t="s">
        <v>33</v>
      </c>
      <c r="N104" s="451" t="s">
        <v>24</v>
      </c>
      <c r="O104" s="112">
        <v>12</v>
      </c>
      <c r="P104" s="112" t="s">
        <v>34</v>
      </c>
      <c r="Q104" s="451" t="s">
        <v>22</v>
      </c>
      <c r="R104" s="114">
        <f>J104*L104*O104</f>
        <v>10080000</v>
      </c>
    </row>
    <row r="105" spans="1:20" s="8" customFormat="1" ht="15" customHeight="1">
      <c r="A105" s="23"/>
      <c r="B105" s="23"/>
      <c r="C105" s="487"/>
      <c r="D105" s="487"/>
      <c r="E105" s="44"/>
      <c r="F105" s="44"/>
      <c r="G105" s="490"/>
      <c r="H105" s="491"/>
      <c r="I105" s="20"/>
      <c r="J105" s="113">
        <v>20000</v>
      </c>
      <c r="K105" s="451" t="s">
        <v>20</v>
      </c>
      <c r="L105" s="451">
        <v>19</v>
      </c>
      <c r="M105" s="112" t="s">
        <v>33</v>
      </c>
      <c r="N105" s="451" t="s">
        <v>20</v>
      </c>
      <c r="O105" s="112">
        <v>12</v>
      </c>
      <c r="P105" s="112" t="s">
        <v>654</v>
      </c>
      <c r="Q105" s="451" t="s">
        <v>22</v>
      </c>
      <c r="R105" s="114">
        <f>J105*L105*O105</f>
        <v>4560000</v>
      </c>
      <c r="S105" s="7"/>
      <c r="T105" s="7"/>
    </row>
    <row r="106" spans="1:20" s="8" customFormat="1" ht="15" customHeight="1">
      <c r="A106" s="23"/>
      <c r="B106" s="23"/>
      <c r="C106" s="487"/>
      <c r="D106" s="487"/>
      <c r="E106" s="44"/>
      <c r="F106" s="44"/>
      <c r="G106" s="490"/>
      <c r="H106" s="491"/>
      <c r="I106" s="20"/>
      <c r="J106" s="113">
        <v>60000</v>
      </c>
      <c r="K106" s="451" t="s">
        <v>20</v>
      </c>
      <c r="L106" s="451">
        <f>5+1</f>
        <v>6</v>
      </c>
      <c r="M106" s="112" t="s">
        <v>33</v>
      </c>
      <c r="N106" s="451" t="s">
        <v>20</v>
      </c>
      <c r="O106" s="112">
        <v>12</v>
      </c>
      <c r="P106" s="112" t="s">
        <v>654</v>
      </c>
      <c r="Q106" s="451" t="s">
        <v>22</v>
      </c>
      <c r="R106" s="114">
        <f t="shared" ref="R106:R123" si="2">J106*L106*O106</f>
        <v>4320000</v>
      </c>
      <c r="S106" s="7"/>
      <c r="T106" s="7"/>
    </row>
    <row r="107" spans="1:20" s="8" customFormat="1" ht="15" customHeight="1">
      <c r="A107" s="23"/>
      <c r="B107" s="23"/>
      <c r="C107" s="764"/>
      <c r="D107" s="764"/>
      <c r="E107" s="44"/>
      <c r="F107" s="44"/>
      <c r="G107" s="765"/>
      <c r="H107" s="766"/>
      <c r="I107" s="20"/>
      <c r="J107" s="113">
        <v>100000</v>
      </c>
      <c r="K107" s="451" t="s">
        <v>20</v>
      </c>
      <c r="L107" s="451">
        <v>3</v>
      </c>
      <c r="M107" s="112" t="s">
        <v>21</v>
      </c>
      <c r="N107" s="451" t="s">
        <v>20</v>
      </c>
      <c r="O107" s="112">
        <v>12</v>
      </c>
      <c r="P107" s="112" t="s">
        <v>654</v>
      </c>
      <c r="Q107" s="451" t="s">
        <v>22</v>
      </c>
      <c r="R107" s="114">
        <f t="shared" ref="R107" si="3">J107*L107*O107</f>
        <v>3600000</v>
      </c>
      <c r="S107" s="7"/>
      <c r="T107" s="7"/>
    </row>
    <row r="108" spans="1:20" s="8" customFormat="1" ht="15" customHeight="1">
      <c r="A108" s="23"/>
      <c r="B108" s="23"/>
      <c r="C108" s="487"/>
      <c r="D108" s="487"/>
      <c r="E108" s="44"/>
      <c r="F108" s="44"/>
      <c r="G108" s="490"/>
      <c r="H108" s="491"/>
      <c r="I108" s="20"/>
      <c r="J108" s="113">
        <v>-3870</v>
      </c>
      <c r="K108" s="451" t="s">
        <v>20</v>
      </c>
      <c r="L108" s="451">
        <v>1</v>
      </c>
      <c r="M108" s="112" t="s">
        <v>33</v>
      </c>
      <c r="N108" s="451" t="s">
        <v>20</v>
      </c>
      <c r="O108" s="112">
        <v>1</v>
      </c>
      <c r="P108" s="112" t="s">
        <v>654</v>
      </c>
      <c r="Q108" s="451" t="s">
        <v>22</v>
      </c>
      <c r="R108" s="114">
        <f t="shared" si="2"/>
        <v>-3870</v>
      </c>
      <c r="S108" s="7"/>
      <c r="T108" s="7"/>
    </row>
    <row r="109" spans="1:20" s="8" customFormat="1" ht="15" hidden="1" customHeight="1">
      <c r="A109" s="23"/>
      <c r="B109" s="23"/>
      <c r="C109" s="720"/>
      <c r="D109" s="720"/>
      <c r="E109" s="44"/>
      <c r="F109" s="44"/>
      <c r="G109" s="721"/>
      <c r="H109" s="722"/>
      <c r="I109" s="20" t="s">
        <v>1086</v>
      </c>
      <c r="J109" s="113">
        <v>40000</v>
      </c>
      <c r="K109" s="451" t="s">
        <v>24</v>
      </c>
      <c r="L109" s="451">
        <v>0</v>
      </c>
      <c r="M109" s="112" t="s">
        <v>33</v>
      </c>
      <c r="N109" s="451" t="s">
        <v>24</v>
      </c>
      <c r="O109" s="112">
        <v>4</v>
      </c>
      <c r="P109" s="112" t="s">
        <v>34</v>
      </c>
      <c r="Q109" s="451" t="s">
        <v>22</v>
      </c>
      <c r="R109" s="114">
        <f t="shared" ref="R109:R114" si="4">J109*L109*O109</f>
        <v>0</v>
      </c>
      <c r="S109" s="7"/>
      <c r="T109" s="7"/>
    </row>
    <row r="110" spans="1:20" s="8" customFormat="1" ht="15" hidden="1" customHeight="1">
      <c r="A110" s="23"/>
      <c r="B110" s="23"/>
      <c r="C110" s="720"/>
      <c r="D110" s="720"/>
      <c r="E110" s="44"/>
      <c r="F110" s="44"/>
      <c r="G110" s="721"/>
      <c r="H110" s="722"/>
      <c r="I110" s="20"/>
      <c r="J110" s="113">
        <v>20000</v>
      </c>
      <c r="K110" s="451" t="s">
        <v>20</v>
      </c>
      <c r="L110" s="451">
        <v>0</v>
      </c>
      <c r="M110" s="112" t="s">
        <v>33</v>
      </c>
      <c r="N110" s="451" t="s">
        <v>20</v>
      </c>
      <c r="O110" s="112">
        <v>4</v>
      </c>
      <c r="P110" s="112" t="s">
        <v>547</v>
      </c>
      <c r="Q110" s="451" t="s">
        <v>22</v>
      </c>
      <c r="R110" s="114">
        <f t="shared" si="4"/>
        <v>0</v>
      </c>
      <c r="S110" s="7"/>
      <c r="T110" s="7"/>
    </row>
    <row r="111" spans="1:20" s="8" customFormat="1" ht="15" hidden="1" customHeight="1">
      <c r="A111" s="23"/>
      <c r="B111" s="23"/>
      <c r="C111" s="720"/>
      <c r="D111" s="720"/>
      <c r="E111" s="44"/>
      <c r="F111" s="44"/>
      <c r="G111" s="721"/>
      <c r="H111" s="722"/>
      <c r="I111" s="20"/>
      <c r="J111" s="113">
        <v>60000</v>
      </c>
      <c r="K111" s="451" t="s">
        <v>20</v>
      </c>
      <c r="L111" s="451">
        <v>0</v>
      </c>
      <c r="M111" s="112" t="s">
        <v>33</v>
      </c>
      <c r="N111" s="451" t="s">
        <v>20</v>
      </c>
      <c r="O111" s="112">
        <v>4</v>
      </c>
      <c r="P111" s="112" t="s">
        <v>547</v>
      </c>
      <c r="Q111" s="451" t="s">
        <v>22</v>
      </c>
      <c r="R111" s="114">
        <f t="shared" si="4"/>
        <v>0</v>
      </c>
      <c r="S111" s="7"/>
      <c r="T111" s="7"/>
    </row>
    <row r="112" spans="1:20" s="8" customFormat="1" ht="15" hidden="1" customHeight="1">
      <c r="A112" s="23"/>
      <c r="B112" s="23"/>
      <c r="C112" s="720"/>
      <c r="D112" s="720"/>
      <c r="E112" s="44"/>
      <c r="F112" s="44"/>
      <c r="G112" s="721"/>
      <c r="H112" s="722"/>
      <c r="I112" s="20"/>
      <c r="J112" s="113">
        <v>30000</v>
      </c>
      <c r="K112" s="451" t="s">
        <v>24</v>
      </c>
      <c r="L112" s="451">
        <v>0</v>
      </c>
      <c r="M112" s="112" t="s">
        <v>33</v>
      </c>
      <c r="N112" s="451" t="s">
        <v>24</v>
      </c>
      <c r="O112" s="112">
        <v>8</v>
      </c>
      <c r="P112" s="112" t="s">
        <v>34</v>
      </c>
      <c r="Q112" s="451" t="s">
        <v>22</v>
      </c>
      <c r="R112" s="114">
        <f t="shared" si="4"/>
        <v>0</v>
      </c>
      <c r="S112" s="7"/>
      <c r="T112" s="7"/>
    </row>
    <row r="113" spans="1:20" s="8" customFormat="1" ht="15" hidden="1" customHeight="1">
      <c r="A113" s="23"/>
      <c r="B113" s="23"/>
      <c r="C113" s="720"/>
      <c r="D113" s="720"/>
      <c r="E113" s="44"/>
      <c r="F113" s="44"/>
      <c r="G113" s="721"/>
      <c r="H113" s="722"/>
      <c r="I113" s="20"/>
      <c r="J113" s="113">
        <v>15000</v>
      </c>
      <c r="K113" s="451" t="s">
        <v>20</v>
      </c>
      <c r="L113" s="451">
        <v>0</v>
      </c>
      <c r="M113" s="112" t="s">
        <v>33</v>
      </c>
      <c r="N113" s="451" t="s">
        <v>20</v>
      </c>
      <c r="O113" s="112">
        <v>8</v>
      </c>
      <c r="P113" s="112" t="s">
        <v>547</v>
      </c>
      <c r="Q113" s="451" t="s">
        <v>22</v>
      </c>
      <c r="R113" s="114">
        <f t="shared" si="4"/>
        <v>0</v>
      </c>
      <c r="S113" s="7"/>
      <c r="T113" s="7"/>
    </row>
    <row r="114" spans="1:20" s="8" customFormat="1" ht="15" hidden="1" customHeight="1">
      <c r="A114" s="23"/>
      <c r="B114" s="23"/>
      <c r="C114" s="720"/>
      <c r="D114" s="720"/>
      <c r="E114" s="44"/>
      <c r="F114" s="44"/>
      <c r="G114" s="721"/>
      <c r="H114" s="722"/>
      <c r="I114" s="20"/>
      <c r="J114" s="113">
        <v>45000</v>
      </c>
      <c r="K114" s="451" t="s">
        <v>20</v>
      </c>
      <c r="L114" s="451">
        <v>0</v>
      </c>
      <c r="M114" s="112" t="s">
        <v>33</v>
      </c>
      <c r="N114" s="451" t="s">
        <v>20</v>
      </c>
      <c r="O114" s="112">
        <v>8</v>
      </c>
      <c r="P114" s="112" t="s">
        <v>547</v>
      </c>
      <c r="Q114" s="451" t="s">
        <v>22</v>
      </c>
      <c r="R114" s="114">
        <f t="shared" si="4"/>
        <v>0</v>
      </c>
      <c r="S114" s="7"/>
      <c r="T114" s="7"/>
    </row>
    <row r="115" spans="1:20" s="8" customFormat="1" ht="15" customHeight="1">
      <c r="A115" s="23"/>
      <c r="B115" s="23"/>
      <c r="C115" s="487"/>
      <c r="D115" s="487"/>
      <c r="E115" s="44"/>
      <c r="F115" s="44"/>
      <c r="G115" s="490"/>
      <c r="H115" s="491"/>
      <c r="I115" s="20" t="s">
        <v>35</v>
      </c>
      <c r="J115" s="63">
        <v>30000</v>
      </c>
      <c r="K115" s="27" t="s">
        <v>24</v>
      </c>
      <c r="L115" s="27">
        <v>2</v>
      </c>
      <c r="M115" s="20" t="s">
        <v>33</v>
      </c>
      <c r="N115" s="27" t="s">
        <v>24</v>
      </c>
      <c r="O115" s="20">
        <v>12</v>
      </c>
      <c r="P115" s="20" t="s">
        <v>34</v>
      </c>
      <c r="Q115" s="27" t="s">
        <v>22</v>
      </c>
      <c r="R115" s="64">
        <f t="shared" si="2"/>
        <v>720000</v>
      </c>
      <c r="S115" s="7"/>
      <c r="T115" s="7"/>
    </row>
    <row r="116" spans="1:20" s="8" customFormat="1" ht="15" customHeight="1">
      <c r="A116" s="23"/>
      <c r="B116" s="23"/>
      <c r="C116" s="487"/>
      <c r="D116" s="487"/>
      <c r="E116" s="44"/>
      <c r="F116" s="44"/>
      <c r="G116" s="490"/>
      <c r="H116" s="491"/>
      <c r="I116" s="20"/>
      <c r="J116" s="63">
        <v>50000</v>
      </c>
      <c r="K116" s="27" t="s">
        <v>24</v>
      </c>
      <c r="L116" s="27">
        <v>1</v>
      </c>
      <c r="M116" s="20" t="s">
        <v>33</v>
      </c>
      <c r="N116" s="27" t="s">
        <v>24</v>
      </c>
      <c r="O116" s="20">
        <v>12</v>
      </c>
      <c r="P116" s="20" t="s">
        <v>34</v>
      </c>
      <c r="Q116" s="27" t="s">
        <v>22</v>
      </c>
      <c r="R116" s="64">
        <f t="shared" si="2"/>
        <v>600000</v>
      </c>
      <c r="S116" s="7"/>
      <c r="T116" s="7"/>
    </row>
    <row r="117" spans="1:20" s="8" customFormat="1" ht="15" hidden="1" customHeight="1">
      <c r="A117" s="23"/>
      <c r="B117" s="23"/>
      <c r="C117" s="487"/>
      <c r="D117" s="487"/>
      <c r="E117" s="44"/>
      <c r="F117" s="44"/>
      <c r="G117" s="490"/>
      <c r="H117" s="491"/>
      <c r="I117" s="20"/>
      <c r="J117" s="67">
        <v>300000</v>
      </c>
      <c r="K117" s="27" t="s">
        <v>20</v>
      </c>
      <c r="L117" s="27">
        <v>0</v>
      </c>
      <c r="M117" s="20" t="s">
        <v>21</v>
      </c>
      <c r="N117" s="27" t="s">
        <v>20</v>
      </c>
      <c r="O117" s="20">
        <v>12</v>
      </c>
      <c r="P117" s="20" t="s">
        <v>19</v>
      </c>
      <c r="Q117" s="27" t="s">
        <v>22</v>
      </c>
      <c r="R117" s="68">
        <f t="shared" si="2"/>
        <v>0</v>
      </c>
      <c r="S117" s="7"/>
      <c r="T117" s="7"/>
    </row>
    <row r="118" spans="1:20" s="8" customFormat="1" ht="15" customHeight="1">
      <c r="A118" s="23"/>
      <c r="B118" s="23"/>
      <c r="C118" s="487"/>
      <c r="D118" s="487"/>
      <c r="E118" s="44"/>
      <c r="F118" s="44"/>
      <c r="G118" s="490"/>
      <c r="H118" s="491"/>
      <c r="I118" s="20" t="s">
        <v>36</v>
      </c>
      <c r="J118" s="67">
        <v>500000</v>
      </c>
      <c r="K118" s="27" t="s">
        <v>24</v>
      </c>
      <c r="L118" s="27">
        <v>1</v>
      </c>
      <c r="M118" s="20" t="s">
        <v>33</v>
      </c>
      <c r="N118" s="27" t="s">
        <v>24</v>
      </c>
      <c r="O118" s="20">
        <v>12</v>
      </c>
      <c r="P118" s="20" t="s">
        <v>34</v>
      </c>
      <c r="Q118" s="27" t="s">
        <v>22</v>
      </c>
      <c r="R118" s="68">
        <f t="shared" si="2"/>
        <v>6000000</v>
      </c>
      <c r="S118" s="7"/>
      <c r="T118" s="7"/>
    </row>
    <row r="119" spans="1:20" s="8" customFormat="1" ht="15" customHeight="1">
      <c r="A119" s="23"/>
      <c r="B119" s="23"/>
      <c r="C119" s="487"/>
      <c r="D119" s="487"/>
      <c r="E119" s="44"/>
      <c r="F119" s="44"/>
      <c r="G119" s="490"/>
      <c r="H119" s="491"/>
      <c r="I119" s="20"/>
      <c r="J119" s="67">
        <v>300000</v>
      </c>
      <c r="K119" s="27" t="s">
        <v>20</v>
      </c>
      <c r="L119" s="27">
        <v>1</v>
      </c>
      <c r="M119" s="20" t="s">
        <v>21</v>
      </c>
      <c r="N119" s="27" t="s">
        <v>20</v>
      </c>
      <c r="O119" s="20">
        <v>12</v>
      </c>
      <c r="P119" s="20" t="s">
        <v>19</v>
      </c>
      <c r="Q119" s="27" t="s">
        <v>22</v>
      </c>
      <c r="R119" s="68">
        <f t="shared" si="2"/>
        <v>3600000</v>
      </c>
      <c r="S119" s="7"/>
      <c r="T119" s="7"/>
    </row>
    <row r="120" spans="1:20" s="8" customFormat="1" ht="15" customHeight="1">
      <c r="A120" s="23"/>
      <c r="B120" s="23"/>
      <c r="C120" s="487"/>
      <c r="D120" s="487"/>
      <c r="E120" s="44"/>
      <c r="F120" s="44"/>
      <c r="G120" s="490"/>
      <c r="H120" s="491"/>
      <c r="I120" s="20"/>
      <c r="J120" s="67">
        <v>200000</v>
      </c>
      <c r="K120" s="27" t="s">
        <v>20</v>
      </c>
      <c r="L120" s="27">
        <v>8</v>
      </c>
      <c r="M120" s="20" t="s">
        <v>21</v>
      </c>
      <c r="N120" s="27" t="s">
        <v>20</v>
      </c>
      <c r="O120" s="20">
        <v>12</v>
      </c>
      <c r="P120" s="20" t="s">
        <v>19</v>
      </c>
      <c r="Q120" s="27" t="s">
        <v>22</v>
      </c>
      <c r="R120" s="68">
        <f t="shared" si="2"/>
        <v>19200000</v>
      </c>
      <c r="S120" s="7"/>
      <c r="T120" s="7"/>
    </row>
    <row r="121" spans="1:20" s="8" customFormat="1" ht="15" hidden="1" customHeight="1">
      <c r="A121" s="23"/>
      <c r="B121" s="23"/>
      <c r="C121" s="720"/>
      <c r="D121" s="720"/>
      <c r="E121" s="44"/>
      <c r="F121" s="44"/>
      <c r="G121" s="721"/>
      <c r="H121" s="722"/>
      <c r="I121" s="20"/>
      <c r="J121" s="67">
        <v>200000</v>
      </c>
      <c r="K121" s="27" t="s">
        <v>20</v>
      </c>
      <c r="L121" s="27">
        <v>0</v>
      </c>
      <c r="M121" s="20" t="s">
        <v>21</v>
      </c>
      <c r="N121" s="27" t="s">
        <v>20</v>
      </c>
      <c r="O121" s="20">
        <v>4</v>
      </c>
      <c r="P121" s="20" t="s">
        <v>19</v>
      </c>
      <c r="Q121" s="27" t="s">
        <v>22</v>
      </c>
      <c r="R121" s="68">
        <f t="shared" si="2"/>
        <v>0</v>
      </c>
      <c r="S121" s="7"/>
      <c r="T121" s="7"/>
    </row>
    <row r="122" spans="1:20" s="8" customFormat="1" ht="15" hidden="1" customHeight="1">
      <c r="A122" s="23"/>
      <c r="B122" s="23"/>
      <c r="C122" s="720"/>
      <c r="D122" s="720"/>
      <c r="E122" s="44"/>
      <c r="F122" s="44"/>
      <c r="G122" s="721"/>
      <c r="H122" s="722"/>
      <c r="I122" s="20"/>
      <c r="J122" s="67">
        <v>150000</v>
      </c>
      <c r="K122" s="27" t="s">
        <v>20</v>
      </c>
      <c r="L122" s="27">
        <v>0</v>
      </c>
      <c r="M122" s="20" t="s">
        <v>21</v>
      </c>
      <c r="N122" s="27" t="s">
        <v>20</v>
      </c>
      <c r="O122" s="20">
        <v>8</v>
      </c>
      <c r="P122" s="20" t="s">
        <v>19</v>
      </c>
      <c r="Q122" s="27" t="s">
        <v>22</v>
      </c>
      <c r="R122" s="68">
        <f>J122*L122*O122</f>
        <v>0</v>
      </c>
      <c r="S122" s="7"/>
      <c r="T122" s="7"/>
    </row>
    <row r="123" spans="1:20" s="8" customFormat="1" ht="15" customHeight="1">
      <c r="A123" s="23"/>
      <c r="B123" s="23"/>
      <c r="C123" s="487"/>
      <c r="D123" s="487"/>
      <c r="E123" s="44"/>
      <c r="F123" s="44"/>
      <c r="G123" s="490"/>
      <c r="H123" s="491"/>
      <c r="I123" s="457" t="s">
        <v>37</v>
      </c>
      <c r="J123" s="458">
        <v>100000</v>
      </c>
      <c r="K123" s="459" t="s">
        <v>20</v>
      </c>
      <c r="L123" s="460">
        <v>38</v>
      </c>
      <c r="M123" s="459" t="s">
        <v>21</v>
      </c>
      <c r="N123" s="459" t="s">
        <v>20</v>
      </c>
      <c r="O123" s="459">
        <v>12</v>
      </c>
      <c r="P123" s="459" t="s">
        <v>19</v>
      </c>
      <c r="Q123" s="459" t="s">
        <v>22</v>
      </c>
      <c r="R123" s="461">
        <f t="shared" si="2"/>
        <v>45600000</v>
      </c>
      <c r="S123" s="7"/>
      <c r="T123" s="7"/>
    </row>
    <row r="124" spans="1:20" s="8" customFormat="1" ht="15" customHeight="1">
      <c r="A124" s="23"/>
      <c r="B124" s="23"/>
      <c r="C124" s="720"/>
      <c r="D124" s="720"/>
      <c r="E124" s="44"/>
      <c r="F124" s="44"/>
      <c r="G124" s="721"/>
      <c r="H124" s="722"/>
      <c r="I124" s="459"/>
      <c r="J124" s="458">
        <v>-19360</v>
      </c>
      <c r="K124" s="459" t="s">
        <v>20</v>
      </c>
      <c r="L124" s="460">
        <v>1</v>
      </c>
      <c r="M124" s="459" t="s">
        <v>21</v>
      </c>
      <c r="N124" s="459" t="s">
        <v>20</v>
      </c>
      <c r="O124" s="459">
        <v>1</v>
      </c>
      <c r="P124" s="459" t="s">
        <v>19</v>
      </c>
      <c r="Q124" s="459" t="s">
        <v>22</v>
      </c>
      <c r="R124" s="461">
        <f>J124*L124*O124</f>
        <v>-19360</v>
      </c>
      <c r="S124" s="7"/>
      <c r="T124" s="7"/>
    </row>
    <row r="125" spans="1:20" s="8" customFormat="1" ht="15" hidden="1" customHeight="1">
      <c r="A125" s="23"/>
      <c r="B125" s="23"/>
      <c r="C125" s="720"/>
      <c r="D125" s="720"/>
      <c r="E125" s="44"/>
      <c r="F125" s="44"/>
      <c r="G125" s="721"/>
      <c r="H125" s="722"/>
      <c r="I125" s="459"/>
      <c r="J125" s="458">
        <v>75000</v>
      </c>
      <c r="K125" s="459" t="s">
        <v>20</v>
      </c>
      <c r="L125" s="460">
        <v>0</v>
      </c>
      <c r="M125" s="459" t="s">
        <v>21</v>
      </c>
      <c r="N125" s="459" t="s">
        <v>20</v>
      </c>
      <c r="O125" s="459">
        <v>8</v>
      </c>
      <c r="P125" s="459" t="s">
        <v>19</v>
      </c>
      <c r="Q125" s="459" t="s">
        <v>22</v>
      </c>
      <c r="R125" s="461">
        <f>J125*L125*O125</f>
        <v>0</v>
      </c>
      <c r="S125" s="7"/>
      <c r="T125" s="7"/>
    </row>
    <row r="126" spans="1:20" s="8" customFormat="1" ht="13.5" customHeight="1">
      <c r="A126" s="23"/>
      <c r="B126" s="23"/>
      <c r="C126" s="487"/>
      <c r="D126" s="487"/>
      <c r="E126" s="44"/>
      <c r="F126" s="44"/>
      <c r="G126" s="490"/>
      <c r="H126" s="491"/>
      <c r="I126" s="459" t="s">
        <v>38</v>
      </c>
      <c r="J126" s="458">
        <v>200000</v>
      </c>
      <c r="K126" s="459" t="s">
        <v>20</v>
      </c>
      <c r="L126" s="460">
        <v>1</v>
      </c>
      <c r="M126" s="459" t="s">
        <v>21</v>
      </c>
      <c r="N126" s="459" t="s">
        <v>20</v>
      </c>
      <c r="O126" s="459">
        <v>12</v>
      </c>
      <c r="P126" s="459" t="s">
        <v>19</v>
      </c>
      <c r="Q126" s="459" t="s">
        <v>22</v>
      </c>
      <c r="R126" s="461">
        <f>J126*L126*O126</f>
        <v>2400000</v>
      </c>
      <c r="S126" s="7"/>
      <c r="T126" s="7"/>
    </row>
    <row r="127" spans="1:20" s="8" customFormat="1" ht="13.5" customHeight="1">
      <c r="A127" s="23"/>
      <c r="B127" s="23"/>
      <c r="C127" s="487"/>
      <c r="D127" s="487"/>
      <c r="E127" s="44"/>
      <c r="F127" s="44"/>
      <c r="G127" s="490"/>
      <c r="H127" s="491"/>
      <c r="I127" s="40" t="s">
        <v>39</v>
      </c>
      <c r="J127" s="916" t="s">
        <v>1244</v>
      </c>
      <c r="K127" s="916"/>
      <c r="L127" s="916"/>
      <c r="M127" s="916"/>
      <c r="N127" s="916"/>
      <c r="O127" s="40"/>
      <c r="P127" s="40"/>
      <c r="Q127" s="40" t="s">
        <v>18</v>
      </c>
      <c r="R127" s="72">
        <f>28465920-6000000</f>
        <v>22465920</v>
      </c>
      <c r="S127" s="7"/>
      <c r="T127" s="7"/>
    </row>
    <row r="128" spans="1:20" s="8" customFormat="1" ht="13.5" customHeight="1">
      <c r="A128" s="23"/>
      <c r="B128" s="23"/>
      <c r="C128" s="487"/>
      <c r="D128" s="487"/>
      <c r="E128" s="44"/>
      <c r="F128" s="44"/>
      <c r="G128" s="490"/>
      <c r="H128" s="491"/>
      <c r="I128" s="69"/>
      <c r="J128" s="20" t="s">
        <v>1192</v>
      </c>
      <c r="K128" s="40"/>
      <c r="L128" s="42"/>
      <c r="M128" s="40"/>
      <c r="N128" s="40"/>
      <c r="O128" s="40"/>
      <c r="P128" s="40"/>
      <c r="Q128" s="40" t="s">
        <v>18</v>
      </c>
      <c r="R128" s="72">
        <f>8400*15*12</f>
        <v>1512000</v>
      </c>
      <c r="S128" s="7"/>
      <c r="T128" s="7"/>
    </row>
    <row r="129" spans="1:20" s="8" customFormat="1" ht="13.5" customHeight="1">
      <c r="A129" s="23"/>
      <c r="B129" s="23"/>
      <c r="C129" s="487"/>
      <c r="D129" s="487"/>
      <c r="E129" s="44"/>
      <c r="F129" s="44"/>
      <c r="G129" s="490"/>
      <c r="H129" s="491"/>
      <c r="I129" s="40"/>
      <c r="J129" s="20"/>
      <c r="K129" s="40"/>
      <c r="L129" s="42"/>
      <c r="M129" s="40"/>
      <c r="N129" s="40"/>
      <c r="O129" s="40"/>
      <c r="P129" s="40"/>
      <c r="Q129" s="40"/>
      <c r="R129" s="72"/>
      <c r="S129" s="7"/>
      <c r="T129" s="7"/>
    </row>
    <row r="130" spans="1:20" s="8" customFormat="1" ht="14.25" customHeight="1">
      <c r="A130" s="497"/>
      <c r="B130" s="497"/>
      <c r="C130" s="497"/>
      <c r="D130" s="488"/>
      <c r="E130" s="50"/>
      <c r="F130" s="50"/>
      <c r="G130" s="541"/>
      <c r="H130" s="514"/>
      <c r="I130" s="56"/>
      <c r="J130" s="52"/>
      <c r="K130" s="53"/>
      <c r="L130" s="53"/>
      <c r="M130" s="56"/>
      <c r="N130" s="53"/>
      <c r="O130" s="56"/>
      <c r="P130" s="56" t="s">
        <v>23</v>
      </c>
      <c r="Q130" s="53"/>
      <c r="R130" s="57">
        <f>SUM(R98:R128)</f>
        <v>324833510</v>
      </c>
      <c r="S130" s="7">
        <f>SUM(R98,R104,R105,R123,R126,R106,R108,R109,R110,R111,R112,R113,R114,R124,R125,R107)</f>
        <v>195817520</v>
      </c>
      <c r="T130" s="7">
        <f>R130-S130</f>
        <v>129015990</v>
      </c>
    </row>
    <row r="131" spans="1:20" s="8" customFormat="1" ht="13.5" customHeight="1">
      <c r="A131" s="23"/>
      <c r="B131" s="23"/>
      <c r="C131" s="901" t="s">
        <v>40</v>
      </c>
      <c r="D131" s="487"/>
      <c r="E131" s="917">
        <v>116935</v>
      </c>
      <c r="F131" s="917">
        <f>S137/1000</f>
        <v>120690.61</v>
      </c>
      <c r="G131" s="919">
        <f>F131+F134-E131-E134</f>
        <v>6712.75</v>
      </c>
      <c r="H131" s="921">
        <f>G131/(E131+E134)</f>
        <v>5.1869552451010693E-2</v>
      </c>
      <c r="I131" s="112" t="s">
        <v>41</v>
      </c>
      <c r="J131" s="771">
        <f>SUM(S97,R98,R104,R123,R126,R105,R106,R108,R109,R110,R111,R112,R113,R114,R124,R125,R107)</f>
        <v>1448287350</v>
      </c>
      <c r="K131" s="459" t="s">
        <v>20</v>
      </c>
      <c r="L131" s="462" t="s">
        <v>42</v>
      </c>
      <c r="M131" s="462"/>
      <c r="N131" s="462"/>
      <c r="O131" s="462"/>
      <c r="P131" s="462"/>
      <c r="Q131" s="459" t="s">
        <v>43</v>
      </c>
      <c r="R131" s="461">
        <f>ROUND(J131/12,-1)-R132</f>
        <v>120690610</v>
      </c>
      <c r="S131" s="7"/>
      <c r="T131" s="7"/>
    </row>
    <row r="132" spans="1:20" s="8" customFormat="1" ht="13.5" customHeight="1">
      <c r="A132" s="23"/>
      <c r="B132" s="23"/>
      <c r="C132" s="901"/>
      <c r="D132" s="487"/>
      <c r="E132" s="917"/>
      <c r="F132" s="917"/>
      <c r="G132" s="919"/>
      <c r="H132" s="921"/>
      <c r="I132" s="162"/>
      <c r="J132" s="727"/>
      <c r="K132" s="40"/>
      <c r="L132" s="42"/>
      <c r="M132" s="75"/>
      <c r="N132" s="75"/>
      <c r="O132" s="75"/>
      <c r="P132" s="75"/>
      <c r="Q132" s="40"/>
      <c r="R132" s="76"/>
      <c r="S132" s="7"/>
      <c r="T132" s="7"/>
    </row>
    <row r="133" spans="1:20" s="8" customFormat="1" ht="12.75" customHeight="1">
      <c r="A133" s="23"/>
      <c r="B133" s="901"/>
      <c r="C133" s="901"/>
      <c r="D133" s="487"/>
      <c r="E133" s="918"/>
      <c r="F133" s="918"/>
      <c r="G133" s="919"/>
      <c r="H133" s="921"/>
      <c r="I133" s="20"/>
      <c r="J133" s="77">
        <f>SUM(R90,R91,R99,R100,R102,R103,R115,R116,R118,R119,R120,R117,R101,R121,R122)</f>
        <v>106350070</v>
      </c>
      <c r="K133" s="78" t="s">
        <v>24</v>
      </c>
      <c r="L133" s="42" t="s">
        <v>44</v>
      </c>
      <c r="M133" s="78"/>
      <c r="N133" s="78"/>
      <c r="O133" s="78"/>
      <c r="P133" s="78"/>
      <c r="Q133" s="20" t="s">
        <v>22</v>
      </c>
      <c r="R133" s="72">
        <f>ROUND(J133/12,-1)</f>
        <v>8862510</v>
      </c>
      <c r="S133" s="7"/>
      <c r="T133" s="7"/>
    </row>
    <row r="134" spans="1:20" s="8" customFormat="1" ht="15" customHeight="1">
      <c r="A134" s="901"/>
      <c r="B134" s="901"/>
      <c r="C134" s="901"/>
      <c r="D134" s="487"/>
      <c r="E134" s="923">
        <v>12481</v>
      </c>
      <c r="F134" s="923">
        <f>T137/1000</f>
        <v>15438.14</v>
      </c>
      <c r="G134" s="919"/>
      <c r="H134" s="921"/>
      <c r="I134" s="20"/>
      <c r="J134" s="79">
        <f>R92</f>
        <v>3600000</v>
      </c>
      <c r="K134" s="20" t="s">
        <v>20</v>
      </c>
      <c r="L134" s="80" t="s">
        <v>44</v>
      </c>
      <c r="M134" s="80"/>
      <c r="N134" s="80"/>
      <c r="O134" s="80"/>
      <c r="P134" s="80"/>
      <c r="Q134" s="20" t="s">
        <v>22</v>
      </c>
      <c r="R134" s="72">
        <f>ROUND(J134/12,-1)</f>
        <v>300000</v>
      </c>
      <c r="S134" s="7"/>
      <c r="T134" s="7"/>
    </row>
    <row r="135" spans="1:20" s="8" customFormat="1" ht="15" customHeight="1">
      <c r="A135" s="901"/>
      <c r="B135" s="901"/>
      <c r="C135" s="487"/>
      <c r="D135" s="487"/>
      <c r="E135" s="917"/>
      <c r="F135" s="917"/>
      <c r="G135" s="919"/>
      <c r="H135" s="921"/>
      <c r="I135" s="20" t="s">
        <v>1284</v>
      </c>
      <c r="J135" s="770">
        <f>37144100+140000+1913000+2101940+25027500+8981000</f>
        <v>75307540</v>
      </c>
      <c r="K135" s="40" t="s">
        <v>1055</v>
      </c>
      <c r="L135" s="42" t="s">
        <v>42</v>
      </c>
      <c r="M135" s="80"/>
      <c r="N135" s="80"/>
      <c r="O135" s="80"/>
      <c r="P135" s="80"/>
      <c r="Q135" s="20" t="s">
        <v>22</v>
      </c>
      <c r="R135" s="72">
        <f>ROUND(J135/12,-1)</f>
        <v>6275630</v>
      </c>
      <c r="S135" s="7"/>
      <c r="T135" s="7"/>
    </row>
    <row r="136" spans="1:20" s="8" customFormat="1" ht="15" customHeight="1">
      <c r="A136" s="901"/>
      <c r="B136" s="901"/>
      <c r="C136" s="487"/>
      <c r="D136" s="487"/>
      <c r="E136" s="917"/>
      <c r="F136" s="917"/>
      <c r="G136" s="919"/>
      <c r="H136" s="921"/>
      <c r="I136" s="20"/>
      <c r="J136" s="79"/>
      <c r="K136" s="20"/>
      <c r="L136" s="80"/>
      <c r="M136" s="80"/>
      <c r="N136" s="80"/>
      <c r="O136" s="80"/>
      <c r="P136" s="80"/>
      <c r="Q136" s="20"/>
      <c r="R136" s="72"/>
      <c r="S136" s="7"/>
      <c r="T136" s="7"/>
    </row>
    <row r="137" spans="1:20" s="11" customFormat="1" ht="15" customHeight="1">
      <c r="A137" s="901"/>
      <c r="B137" s="901"/>
      <c r="C137" s="498"/>
      <c r="D137" s="498"/>
      <c r="E137" s="918"/>
      <c r="F137" s="918"/>
      <c r="G137" s="920"/>
      <c r="H137" s="922"/>
      <c r="I137" s="13"/>
      <c r="J137" s="81"/>
      <c r="K137" s="81"/>
      <c r="L137" s="81"/>
      <c r="M137" s="81"/>
      <c r="N137" s="81"/>
      <c r="O137" s="524"/>
      <c r="P137" s="524"/>
      <c r="Q137" s="524" t="s">
        <v>23</v>
      </c>
      <c r="R137" s="82">
        <f>SUM(R131:R135)</f>
        <v>136128750</v>
      </c>
      <c r="S137" s="10">
        <f>R131</f>
        <v>120690610</v>
      </c>
      <c r="T137" s="7">
        <f>R137-S137</f>
        <v>15438140</v>
      </c>
    </row>
    <row r="138" spans="1:20" s="8" customFormat="1" ht="15.75" customHeight="1">
      <c r="A138" s="901"/>
      <c r="B138" s="901"/>
      <c r="C138" s="886" t="s">
        <v>45</v>
      </c>
      <c r="D138" s="492"/>
      <c r="E138" s="925">
        <v>135366</v>
      </c>
      <c r="F138" s="925">
        <f>S153/1000</f>
        <v>126544.04</v>
      </c>
      <c r="G138" s="927">
        <f>F138+F141-E138-E141</f>
        <v>12387.889999999985</v>
      </c>
      <c r="H138" s="928">
        <f>G138/(E138+E141)</f>
        <v>8.4889843691109954E-2</v>
      </c>
      <c r="I138" s="118" t="s">
        <v>46</v>
      </c>
      <c r="J138" s="771">
        <f>J131</f>
        <v>1448287350</v>
      </c>
      <c r="K138" s="118" t="s">
        <v>24</v>
      </c>
      <c r="L138" s="463" t="s">
        <v>1052</v>
      </c>
      <c r="M138" s="464" t="s">
        <v>24</v>
      </c>
      <c r="N138" s="465"/>
      <c r="O138" s="465"/>
      <c r="P138" s="466"/>
      <c r="Q138" s="467" t="s">
        <v>22</v>
      </c>
      <c r="R138" s="468">
        <f>ROUNDDOWN(J138*L138,-1)</f>
        <v>50255570</v>
      </c>
      <c r="S138" s="7"/>
      <c r="T138" s="7"/>
    </row>
    <row r="139" spans="1:20" s="8" customFormat="1" ht="15.75" customHeight="1">
      <c r="A139" s="23"/>
      <c r="B139" s="901"/>
      <c r="C139" s="924"/>
      <c r="D139" s="522"/>
      <c r="E139" s="926"/>
      <c r="F139" s="926"/>
      <c r="G139" s="919"/>
      <c r="H139" s="921"/>
      <c r="I139" s="112" t="s">
        <v>47</v>
      </c>
      <c r="J139" s="771">
        <f>J138</f>
        <v>1448287350</v>
      </c>
      <c r="K139" s="112" t="s">
        <v>24</v>
      </c>
      <c r="L139" s="469" t="s">
        <v>48</v>
      </c>
      <c r="M139" s="469" t="s">
        <v>24</v>
      </c>
      <c r="N139" s="470"/>
      <c r="O139" s="470"/>
      <c r="P139" s="471"/>
      <c r="Q139" s="112" t="s">
        <v>22</v>
      </c>
      <c r="R139" s="133">
        <f>ROUNDDOWN(J139*L139,-1)</f>
        <v>65172930</v>
      </c>
      <c r="S139" s="7"/>
      <c r="T139" s="7"/>
    </row>
    <row r="140" spans="1:20" s="8" customFormat="1" ht="15.75" customHeight="1">
      <c r="A140" s="23"/>
      <c r="B140" s="749"/>
      <c r="C140" s="750"/>
      <c r="D140" s="750"/>
      <c r="E140" s="751"/>
      <c r="F140" s="751"/>
      <c r="G140" s="919"/>
      <c r="H140" s="921"/>
      <c r="I140" s="112" t="s">
        <v>53</v>
      </c>
      <c r="J140" s="771">
        <f>J139</f>
        <v>1448287350</v>
      </c>
      <c r="K140" s="112" t="s">
        <v>15</v>
      </c>
      <c r="L140" s="469" t="s">
        <v>1207</v>
      </c>
      <c r="M140" s="469" t="s">
        <v>15</v>
      </c>
      <c r="N140" s="470"/>
      <c r="O140" s="470"/>
      <c r="P140" s="471"/>
      <c r="Q140" s="112" t="s">
        <v>18</v>
      </c>
      <c r="R140" s="133">
        <f>22455770-8289470-3600000+549240</f>
        <v>11115540</v>
      </c>
      <c r="S140" s="7"/>
      <c r="T140" s="7"/>
    </row>
    <row r="141" spans="1:20" s="8" customFormat="1" ht="15.75" customHeight="1">
      <c r="A141" s="23"/>
      <c r="B141" s="23"/>
      <c r="C141" s="88"/>
      <c r="D141" s="522"/>
      <c r="E141" s="925">
        <v>10563</v>
      </c>
      <c r="F141" s="925">
        <f>T153/1000</f>
        <v>31772.85</v>
      </c>
      <c r="G141" s="919"/>
      <c r="H141" s="921"/>
      <c r="I141" s="20"/>
      <c r="J141" s="181"/>
      <c r="K141" s="20"/>
      <c r="L141" s="84"/>
      <c r="M141" s="84"/>
      <c r="N141" s="85"/>
      <c r="O141" s="85"/>
      <c r="P141" s="86"/>
      <c r="Q141" s="20" t="s">
        <v>22</v>
      </c>
      <c r="R141" s="68">
        <v>11332910</v>
      </c>
      <c r="S141" s="7"/>
      <c r="T141" s="7"/>
    </row>
    <row r="142" spans="1:20" s="8" customFormat="1" ht="15.75" customHeight="1">
      <c r="A142" s="23"/>
      <c r="B142" s="23"/>
      <c r="C142" s="88"/>
      <c r="D142" s="522"/>
      <c r="E142" s="926"/>
      <c r="F142" s="926"/>
      <c r="G142" s="919"/>
      <c r="H142" s="921"/>
      <c r="I142" s="20" t="s">
        <v>49</v>
      </c>
      <c r="J142" s="770">
        <f>J138</f>
        <v>1448287350</v>
      </c>
      <c r="K142" s="20" t="s">
        <v>20</v>
      </c>
      <c r="L142" s="84" t="s">
        <v>1053</v>
      </c>
      <c r="M142" s="85"/>
      <c r="N142" s="84"/>
      <c r="O142" s="84"/>
      <c r="P142" s="86"/>
      <c r="Q142" s="20" t="s">
        <v>22</v>
      </c>
      <c r="R142" s="68">
        <f>ROUNDDOWN(J142*L142,-1)</f>
        <v>9269030</v>
      </c>
      <c r="S142" s="7"/>
      <c r="T142" s="7"/>
    </row>
    <row r="143" spans="1:20" s="8" customFormat="1" ht="15.75" customHeight="1">
      <c r="A143" s="23"/>
      <c r="B143" s="23"/>
      <c r="C143" s="88"/>
      <c r="D143" s="522"/>
      <c r="E143" s="926"/>
      <c r="F143" s="926"/>
      <c r="G143" s="919"/>
      <c r="H143" s="921"/>
      <c r="I143" s="20"/>
      <c r="J143" s="74"/>
      <c r="K143" s="20"/>
      <c r="L143" s="84"/>
      <c r="M143" s="85"/>
      <c r="N143" s="84"/>
      <c r="O143" s="84"/>
      <c r="P143" s="86"/>
      <c r="Q143" s="20"/>
      <c r="R143" s="29"/>
      <c r="S143" s="7"/>
      <c r="T143" s="7"/>
    </row>
    <row r="144" spans="1:20" s="8" customFormat="1" ht="15.75" customHeight="1">
      <c r="A144" s="23"/>
      <c r="B144" s="23"/>
      <c r="C144" s="88"/>
      <c r="D144" s="522"/>
      <c r="E144" s="509"/>
      <c r="F144" s="509"/>
      <c r="G144" s="517"/>
      <c r="H144" s="536"/>
      <c r="I144" s="20"/>
      <c r="J144" s="74"/>
      <c r="K144" s="20"/>
      <c r="L144" s="84"/>
      <c r="M144" s="85"/>
      <c r="N144" s="84"/>
      <c r="O144" s="84"/>
      <c r="P144" s="86"/>
      <c r="Q144" s="20"/>
      <c r="R144" s="68"/>
      <c r="S144" s="7"/>
      <c r="T144" s="7"/>
    </row>
    <row r="145" spans="1:20" s="8" customFormat="1" ht="15.75" customHeight="1">
      <c r="A145" s="23"/>
      <c r="B145" s="23"/>
      <c r="C145" s="88"/>
      <c r="D145" s="522"/>
      <c r="E145" s="33"/>
      <c r="F145" s="33"/>
      <c r="G145" s="517"/>
      <c r="H145" s="536"/>
      <c r="I145" s="20" t="s">
        <v>51</v>
      </c>
      <c r="J145" s="89">
        <f>J133</f>
        <v>106350070</v>
      </c>
      <c r="K145" s="20" t="s">
        <v>20</v>
      </c>
      <c r="L145" s="90" t="s">
        <v>1052</v>
      </c>
      <c r="M145" s="85" t="s">
        <v>15</v>
      </c>
      <c r="N145" s="85"/>
      <c r="O145" s="85"/>
      <c r="P145" s="86"/>
      <c r="Q145" s="20" t="s">
        <v>22</v>
      </c>
      <c r="R145" s="68">
        <f t="shared" ref="R145:R152" si="5">ROUNDDOWN(J145*L145,-1)</f>
        <v>3690340</v>
      </c>
      <c r="S145" s="7"/>
      <c r="T145" s="7"/>
    </row>
    <row r="146" spans="1:20" s="8" customFormat="1" ht="15.75" customHeight="1">
      <c r="A146" s="23"/>
      <c r="B146" s="23"/>
      <c r="C146" s="88"/>
      <c r="D146" s="522"/>
      <c r="E146" s="33"/>
      <c r="F146" s="33"/>
      <c r="G146" s="517"/>
      <c r="H146" s="536"/>
      <c r="I146" s="20" t="s">
        <v>52</v>
      </c>
      <c r="J146" s="77">
        <f>J145</f>
        <v>106350070</v>
      </c>
      <c r="K146" s="20" t="s">
        <v>24</v>
      </c>
      <c r="L146" s="84" t="s">
        <v>48</v>
      </c>
      <c r="M146" s="85" t="s">
        <v>15</v>
      </c>
      <c r="N146" s="85"/>
      <c r="O146" s="85"/>
      <c r="P146" s="86"/>
      <c r="Q146" s="20" t="s">
        <v>22</v>
      </c>
      <c r="R146" s="68">
        <f t="shared" si="5"/>
        <v>4785750</v>
      </c>
      <c r="S146" s="7"/>
      <c r="T146" s="7"/>
    </row>
    <row r="147" spans="1:20" s="8" customFormat="1" ht="15.75" customHeight="1">
      <c r="A147" s="23"/>
      <c r="B147" s="23"/>
      <c r="C147" s="88"/>
      <c r="D147" s="522"/>
      <c r="E147" s="33"/>
      <c r="F147" s="33"/>
      <c r="G147" s="517"/>
      <c r="H147" s="536"/>
      <c r="I147" s="20" t="s">
        <v>53</v>
      </c>
      <c r="J147" s="77">
        <f>J145</f>
        <v>106350070</v>
      </c>
      <c r="K147" s="20" t="s">
        <v>24</v>
      </c>
      <c r="L147" s="84" t="s">
        <v>653</v>
      </c>
      <c r="M147" s="85" t="s">
        <v>15</v>
      </c>
      <c r="N147" s="85"/>
      <c r="O147" s="85"/>
      <c r="P147" s="86"/>
      <c r="Q147" s="20" t="s">
        <v>22</v>
      </c>
      <c r="R147" s="68">
        <f t="shared" si="5"/>
        <v>1648420</v>
      </c>
      <c r="S147" s="7"/>
      <c r="T147" s="7"/>
    </row>
    <row r="148" spans="1:20" s="8" customFormat="1" ht="15.75" customHeight="1">
      <c r="A148" s="23"/>
      <c r="B148" s="23"/>
      <c r="C148" s="88"/>
      <c r="D148" s="522"/>
      <c r="E148" s="33"/>
      <c r="F148" s="33"/>
      <c r="G148" s="517"/>
      <c r="H148" s="536"/>
      <c r="I148" s="20" t="s">
        <v>54</v>
      </c>
      <c r="J148" s="77">
        <f>J145</f>
        <v>106350070</v>
      </c>
      <c r="K148" s="20" t="s">
        <v>20</v>
      </c>
      <c r="L148" s="84" t="s">
        <v>1054</v>
      </c>
      <c r="M148" s="85"/>
      <c r="N148" s="85"/>
      <c r="O148" s="85"/>
      <c r="P148" s="86"/>
      <c r="Q148" s="20" t="s">
        <v>22</v>
      </c>
      <c r="R148" s="68">
        <f t="shared" si="5"/>
        <v>680640</v>
      </c>
      <c r="S148" s="7"/>
      <c r="T148" s="7"/>
    </row>
    <row r="149" spans="1:20" s="8" customFormat="1" ht="15.75" customHeight="1">
      <c r="A149" s="23"/>
      <c r="B149" s="23"/>
      <c r="C149" s="88"/>
      <c r="D149" s="522"/>
      <c r="E149" s="33"/>
      <c r="F149" s="33"/>
      <c r="G149" s="517"/>
      <c r="H149" s="536"/>
      <c r="I149" s="35" t="s">
        <v>55</v>
      </c>
      <c r="J149" s="79">
        <f>J134</f>
        <v>3600000</v>
      </c>
      <c r="K149" s="20" t="s">
        <v>20</v>
      </c>
      <c r="L149" s="90" t="s">
        <v>1052</v>
      </c>
      <c r="M149" s="85" t="s">
        <v>15</v>
      </c>
      <c r="N149" s="85"/>
      <c r="O149" s="85"/>
      <c r="P149" s="86"/>
      <c r="Q149" s="20" t="s">
        <v>22</v>
      </c>
      <c r="R149" s="68">
        <f t="shared" si="5"/>
        <v>124920</v>
      </c>
      <c r="S149" s="7"/>
      <c r="T149" s="7"/>
    </row>
    <row r="150" spans="1:20" s="8" customFormat="1" ht="15.75" customHeight="1">
      <c r="A150" s="23"/>
      <c r="B150" s="23"/>
      <c r="C150" s="88"/>
      <c r="D150" s="522"/>
      <c r="E150" s="33"/>
      <c r="F150" s="33"/>
      <c r="G150" s="517"/>
      <c r="H150" s="536"/>
      <c r="I150" s="35" t="s">
        <v>52</v>
      </c>
      <c r="J150" s="79">
        <f>R92</f>
        <v>3600000</v>
      </c>
      <c r="K150" s="20" t="s">
        <v>50</v>
      </c>
      <c r="L150" s="84" t="s">
        <v>56</v>
      </c>
      <c r="M150" s="85" t="s">
        <v>15</v>
      </c>
      <c r="N150" s="85"/>
      <c r="O150" s="85"/>
      <c r="P150" s="86"/>
      <c r="Q150" s="20" t="s">
        <v>43</v>
      </c>
      <c r="R150" s="68">
        <f t="shared" si="5"/>
        <v>162000</v>
      </c>
      <c r="S150" s="7"/>
      <c r="T150" s="7"/>
    </row>
    <row r="151" spans="1:20" s="8" customFormat="1" ht="15.75" customHeight="1">
      <c r="A151" s="23"/>
      <c r="B151" s="23"/>
      <c r="C151" s="88"/>
      <c r="D151" s="522"/>
      <c r="E151" s="33"/>
      <c r="F151" s="33"/>
      <c r="G151" s="517"/>
      <c r="H151" s="536"/>
      <c r="I151" s="35" t="s">
        <v>53</v>
      </c>
      <c r="J151" s="79">
        <f>R92</f>
        <v>3600000</v>
      </c>
      <c r="K151" s="20" t="s">
        <v>20</v>
      </c>
      <c r="L151" s="84" t="s">
        <v>653</v>
      </c>
      <c r="M151" s="85" t="s">
        <v>15</v>
      </c>
      <c r="N151" s="85"/>
      <c r="O151" s="85"/>
      <c r="P151" s="86"/>
      <c r="Q151" s="20" t="s">
        <v>22</v>
      </c>
      <c r="R151" s="68">
        <f t="shared" si="5"/>
        <v>55800</v>
      </c>
      <c r="S151" s="7"/>
      <c r="T151" s="7"/>
    </row>
    <row r="152" spans="1:20" s="8" customFormat="1" ht="15.75" customHeight="1">
      <c r="A152" s="23"/>
      <c r="B152" s="23"/>
      <c r="C152" s="88"/>
      <c r="D152" s="522"/>
      <c r="E152" s="33"/>
      <c r="F152" s="33"/>
      <c r="G152" s="517"/>
      <c r="H152" s="536"/>
      <c r="I152" s="35" t="s">
        <v>54</v>
      </c>
      <c r="J152" s="79">
        <f>R92</f>
        <v>3600000</v>
      </c>
      <c r="K152" s="20" t="s">
        <v>20</v>
      </c>
      <c r="L152" s="84" t="s">
        <v>1054</v>
      </c>
      <c r="M152" s="85"/>
      <c r="N152" s="85"/>
      <c r="O152" s="85"/>
      <c r="P152" s="86"/>
      <c r="Q152" s="20" t="s">
        <v>43</v>
      </c>
      <c r="R152" s="68">
        <f t="shared" si="5"/>
        <v>23040</v>
      </c>
      <c r="S152" s="7"/>
      <c r="T152" s="7"/>
    </row>
    <row r="153" spans="1:20" s="94" customFormat="1" ht="15" customHeight="1">
      <c r="A153" s="23"/>
      <c r="B153" s="23"/>
      <c r="C153" s="88"/>
      <c r="D153" s="522"/>
      <c r="E153" s="33"/>
      <c r="F153" s="33"/>
      <c r="G153" s="517"/>
      <c r="H153" s="536"/>
      <c r="I153" s="16"/>
      <c r="J153" s="17"/>
      <c r="K153" s="18"/>
      <c r="L153" s="91"/>
      <c r="M153" s="91"/>
      <c r="N153" s="91"/>
      <c r="O153" s="91"/>
      <c r="P153" s="91"/>
      <c r="Q153" s="18" t="s">
        <v>11</v>
      </c>
      <c r="R153" s="92">
        <f>SUM(R138:R152)</f>
        <v>158316890</v>
      </c>
      <c r="S153" s="93">
        <f>SUM(R138:R140)</f>
        <v>126544040</v>
      </c>
      <c r="T153" s="93">
        <f>R153-S153</f>
        <v>31772850</v>
      </c>
    </row>
    <row r="154" spans="1:20" s="8" customFormat="1" ht="16.5" customHeight="1">
      <c r="A154" s="23"/>
      <c r="B154" s="22"/>
      <c r="C154" s="886" t="s">
        <v>57</v>
      </c>
      <c r="D154" s="95"/>
      <c r="E154" s="923">
        <v>6725</v>
      </c>
      <c r="F154" s="923">
        <f>S160/1000</f>
        <v>8920</v>
      </c>
      <c r="G154" s="908">
        <f>F154+F157-E154-E157</f>
        <v>-1844</v>
      </c>
      <c r="H154" s="910">
        <f>G154/(E154+E157)</f>
        <v>-8.0271635033954375E-2</v>
      </c>
      <c r="I154" s="40"/>
      <c r="J154" s="41"/>
      <c r="K154" s="70" t="s">
        <v>15</v>
      </c>
      <c r="L154" s="442"/>
      <c r="M154" s="366" t="s">
        <v>16</v>
      </c>
      <c r="N154" s="70" t="s">
        <v>15</v>
      </c>
      <c r="O154" s="96"/>
      <c r="P154" s="97" t="s">
        <v>17</v>
      </c>
      <c r="Q154" s="40" t="s">
        <v>18</v>
      </c>
      <c r="R154" s="72">
        <f>J154*L154*O154</f>
        <v>0</v>
      </c>
      <c r="S154" s="7"/>
      <c r="T154" s="7"/>
    </row>
    <row r="155" spans="1:20" s="8" customFormat="1" ht="16.5" customHeight="1">
      <c r="A155" s="23"/>
      <c r="B155" s="22"/>
      <c r="C155" s="924"/>
      <c r="D155" s="34"/>
      <c r="E155" s="917"/>
      <c r="F155" s="917"/>
      <c r="G155" s="909"/>
      <c r="H155" s="911"/>
      <c r="I155" s="459" t="s">
        <v>628</v>
      </c>
      <c r="J155" s="474"/>
      <c r="K155" s="458"/>
      <c r="L155" s="475"/>
      <c r="M155" s="475"/>
      <c r="N155" s="458"/>
      <c r="O155" s="476"/>
      <c r="P155" s="477"/>
      <c r="Q155" s="459"/>
      <c r="R155" s="136">
        <v>8920000</v>
      </c>
      <c r="S155" s="7"/>
      <c r="T155" s="7"/>
    </row>
    <row r="156" spans="1:20" s="8" customFormat="1" ht="16.5" customHeight="1">
      <c r="A156" s="23"/>
      <c r="B156" s="22"/>
      <c r="C156" s="924"/>
      <c r="D156" s="34"/>
      <c r="E156" s="917"/>
      <c r="F156" s="917"/>
      <c r="G156" s="909"/>
      <c r="H156" s="911"/>
      <c r="I156" s="35" t="s">
        <v>58</v>
      </c>
      <c r="J156" s="79">
        <v>34000</v>
      </c>
      <c r="K156" s="20" t="s">
        <v>15</v>
      </c>
      <c r="L156" s="444">
        <v>106</v>
      </c>
      <c r="M156" s="366" t="s">
        <v>16</v>
      </c>
      <c r="N156" s="20" t="s">
        <v>15</v>
      </c>
      <c r="O156" s="20">
        <v>2</v>
      </c>
      <c r="P156" s="20" t="s">
        <v>59</v>
      </c>
      <c r="Q156" s="20" t="s">
        <v>18</v>
      </c>
      <c r="R156" s="98">
        <f>J156*L156*O156</f>
        <v>7208000</v>
      </c>
      <c r="S156" s="7"/>
      <c r="T156" s="7"/>
    </row>
    <row r="157" spans="1:20" s="8" customFormat="1" ht="16.5" customHeight="1">
      <c r="A157" s="23"/>
      <c r="B157" s="22"/>
      <c r="C157" s="924"/>
      <c r="D157" s="34"/>
      <c r="E157" s="508">
        <v>16247</v>
      </c>
      <c r="F157" s="508">
        <f>T160/1000</f>
        <v>12208</v>
      </c>
      <c r="G157" s="909"/>
      <c r="H157" s="911"/>
      <c r="I157" s="20"/>
      <c r="J157" s="180"/>
      <c r="K157" s="99"/>
      <c r="L157" s="443"/>
      <c r="M157" s="443"/>
      <c r="N157" s="100"/>
      <c r="O157" s="100"/>
      <c r="P157" s="100"/>
      <c r="Q157" s="100"/>
      <c r="R157" s="98"/>
      <c r="S157" s="7"/>
      <c r="T157" s="7"/>
    </row>
    <row r="158" spans="1:20" s="8" customFormat="1" ht="16.5" customHeight="1">
      <c r="A158" s="23"/>
      <c r="B158" s="20"/>
      <c r="C158" s="522"/>
      <c r="D158" s="489"/>
      <c r="E158" s="33"/>
      <c r="F158" s="33"/>
      <c r="G158" s="101"/>
      <c r="H158" s="491"/>
      <c r="I158" s="20" t="s">
        <v>61</v>
      </c>
      <c r="J158" s="180">
        <v>420000</v>
      </c>
      <c r="K158" s="99" t="s">
        <v>60</v>
      </c>
      <c r="L158" s="443">
        <v>12</v>
      </c>
      <c r="M158" s="443" t="s">
        <v>19</v>
      </c>
      <c r="N158" s="100"/>
      <c r="O158" s="100"/>
      <c r="P158" s="100"/>
      <c r="Q158" s="100" t="s">
        <v>22</v>
      </c>
      <c r="R158" s="98">
        <f>J158*L158-40000</f>
        <v>5000000</v>
      </c>
      <c r="S158" s="7"/>
      <c r="T158" s="7"/>
    </row>
    <row r="159" spans="1:20" s="8" customFormat="1" ht="16.5" customHeight="1">
      <c r="A159" s="23"/>
      <c r="B159" s="20"/>
      <c r="C159" s="522"/>
      <c r="D159" s="489"/>
      <c r="E159" s="33"/>
      <c r="F159" s="33"/>
      <c r="G159" s="101"/>
      <c r="H159" s="491"/>
      <c r="I159" s="20"/>
      <c r="J159" s="500"/>
      <c r="K159" s="99"/>
      <c r="L159" s="443"/>
      <c r="M159" s="100"/>
      <c r="N159" s="100"/>
      <c r="O159" s="100"/>
      <c r="P159" s="100"/>
      <c r="Q159" s="100"/>
      <c r="R159" s="98"/>
      <c r="S159" s="7"/>
      <c r="T159" s="7"/>
    </row>
    <row r="160" spans="1:20" s="8" customFormat="1" ht="16.5" customHeight="1">
      <c r="A160" s="23"/>
      <c r="B160" s="20"/>
      <c r="C160" s="32"/>
      <c r="D160" s="102"/>
      <c r="E160" s="33"/>
      <c r="F160" s="33"/>
      <c r="G160" s="489"/>
      <c r="H160" s="487"/>
      <c r="I160" s="20"/>
      <c r="J160" s="21"/>
      <c r="K160" s="100"/>
      <c r="L160" s="103"/>
      <c r="M160" s="103"/>
      <c r="N160" s="100"/>
      <c r="O160" s="100"/>
      <c r="P160" s="100"/>
      <c r="Q160" s="100" t="s">
        <v>62</v>
      </c>
      <c r="R160" s="104">
        <f>SUM(R154:R159)</f>
        <v>21128000</v>
      </c>
      <c r="S160" s="7">
        <v>8920000</v>
      </c>
      <c r="T160" s="7">
        <f>R160-S160</f>
        <v>12208000</v>
      </c>
    </row>
    <row r="161" spans="1:22" s="8" customFormat="1" ht="16.5" customHeight="1">
      <c r="A161" s="23"/>
      <c r="B161" s="886" t="s">
        <v>63</v>
      </c>
      <c r="C161" s="494"/>
      <c r="D161" s="494"/>
      <c r="E161" s="503">
        <f>E163+E165</f>
        <v>0</v>
      </c>
      <c r="F161" s="503">
        <f>F163+F165</f>
        <v>0</v>
      </c>
      <c r="G161" s="906">
        <f>F161+F162-E161-E162</f>
        <v>3030</v>
      </c>
      <c r="H161" s="910">
        <f>G161/(E161+E162)</f>
        <v>1.1263940520446096</v>
      </c>
      <c r="I161" s="106"/>
      <c r="J161" s="107"/>
      <c r="K161" s="28"/>
      <c r="L161" s="28"/>
      <c r="M161" s="28"/>
      <c r="N161" s="28"/>
      <c r="O161" s="28"/>
      <c r="P161" s="28"/>
      <c r="Q161" s="28"/>
      <c r="R161" s="108"/>
      <c r="S161" s="37"/>
      <c r="T161" s="7"/>
      <c r="U161" s="109"/>
      <c r="V161" s="109"/>
    </row>
    <row r="162" spans="1:22" s="8" customFormat="1" ht="16.5" customHeight="1">
      <c r="A162" s="23"/>
      <c r="B162" s="887"/>
      <c r="C162" s="495"/>
      <c r="D162" s="495"/>
      <c r="E162" s="30">
        <f>E164+E166</f>
        <v>2690</v>
      </c>
      <c r="F162" s="30">
        <f>F164+F166</f>
        <v>5720</v>
      </c>
      <c r="G162" s="907"/>
      <c r="H162" s="915"/>
      <c r="I162" s="16"/>
      <c r="J162" s="17"/>
      <c r="K162" s="18"/>
      <c r="L162" s="18"/>
      <c r="M162" s="18"/>
      <c r="N162" s="18"/>
      <c r="O162" s="18"/>
      <c r="P162" s="18"/>
      <c r="Q162" s="18"/>
      <c r="R162" s="25">
        <f>SUM(R164,R168)</f>
        <v>5720000</v>
      </c>
      <c r="S162" s="37">
        <f>SUM(S164,S168)</f>
        <v>0</v>
      </c>
      <c r="T162" s="37">
        <f>SUM(T164,T168)</f>
        <v>5720000</v>
      </c>
      <c r="U162" s="109"/>
      <c r="V162" s="109"/>
    </row>
    <row r="163" spans="1:22" s="8" customFormat="1" ht="16.5" customHeight="1">
      <c r="A163" s="23"/>
      <c r="B163" s="20"/>
      <c r="C163" s="886" t="s">
        <v>63</v>
      </c>
      <c r="D163" s="492"/>
      <c r="E163" s="503">
        <v>0</v>
      </c>
      <c r="F163" s="503">
        <v>0</v>
      </c>
      <c r="G163" s="929">
        <f>F163+F164-E163-E164</f>
        <v>150</v>
      </c>
      <c r="H163" s="910">
        <f>G163/(E163+E164)</f>
        <v>8.1081081081081086E-2</v>
      </c>
      <c r="I163" s="20" t="s">
        <v>64</v>
      </c>
      <c r="J163" s="79">
        <v>200000</v>
      </c>
      <c r="K163" s="20" t="s">
        <v>60</v>
      </c>
      <c r="L163" s="20">
        <v>10</v>
      </c>
      <c r="M163" s="20" t="s">
        <v>65</v>
      </c>
      <c r="N163" s="20"/>
      <c r="O163" s="20"/>
      <c r="P163" s="20"/>
      <c r="Q163" s="20" t="s">
        <v>22</v>
      </c>
      <c r="R163" s="68">
        <f>J163*L163</f>
        <v>2000000</v>
      </c>
      <c r="S163" s="7"/>
      <c r="T163" s="7"/>
    </row>
    <row r="164" spans="1:22" s="8" customFormat="1" ht="16.5" customHeight="1">
      <c r="A164" s="23"/>
      <c r="B164" s="23"/>
      <c r="C164" s="887"/>
      <c r="D164" s="488"/>
      <c r="E164" s="501">
        <v>1850</v>
      </c>
      <c r="F164" s="501">
        <f>T164/1000</f>
        <v>2000</v>
      </c>
      <c r="G164" s="931"/>
      <c r="H164" s="915"/>
      <c r="I164" s="18"/>
      <c r="J164" s="17"/>
      <c r="K164" s="18"/>
      <c r="L164" s="18"/>
      <c r="M164" s="18"/>
      <c r="N164" s="18"/>
      <c r="O164" s="18"/>
      <c r="P164" s="18"/>
      <c r="Q164" s="18" t="s">
        <v>62</v>
      </c>
      <c r="R164" s="110">
        <f>R163</f>
        <v>2000000</v>
      </c>
      <c r="S164" s="7">
        <v>0</v>
      </c>
      <c r="T164" s="7">
        <f>R164-S164</f>
        <v>2000000</v>
      </c>
    </row>
    <row r="165" spans="1:22" s="8" customFormat="1" ht="16.5" customHeight="1">
      <c r="A165" s="23"/>
      <c r="B165" s="20"/>
      <c r="C165" s="895" t="s">
        <v>66</v>
      </c>
      <c r="D165" s="486"/>
      <c r="E165" s="503">
        <v>0</v>
      </c>
      <c r="F165" s="503">
        <v>0</v>
      </c>
      <c r="G165" s="929">
        <f>F165+F166-E165-E166</f>
        <v>2880</v>
      </c>
      <c r="H165" s="910">
        <f>G165/(E165+E166)</f>
        <v>3.4285714285714284</v>
      </c>
      <c r="I165" s="28" t="s">
        <v>67</v>
      </c>
      <c r="J165" s="63">
        <v>300000</v>
      </c>
      <c r="K165" s="20" t="s">
        <v>20</v>
      </c>
      <c r="L165" s="20">
        <v>4</v>
      </c>
      <c r="M165" s="20" t="s">
        <v>25</v>
      </c>
      <c r="N165" s="20"/>
      <c r="O165" s="20"/>
      <c r="P165" s="20"/>
      <c r="Q165" s="20" t="s">
        <v>22</v>
      </c>
      <c r="R165" s="64">
        <f>J165*L165</f>
        <v>1200000</v>
      </c>
      <c r="S165" s="7"/>
      <c r="T165" s="7"/>
    </row>
    <row r="166" spans="1:22" s="8" customFormat="1" ht="16.5" customHeight="1">
      <c r="A166" s="23"/>
      <c r="B166" s="20"/>
      <c r="C166" s="901"/>
      <c r="D166" s="487"/>
      <c r="E166" s="925">
        <v>840</v>
      </c>
      <c r="F166" s="925">
        <f>T168/1000</f>
        <v>3720</v>
      </c>
      <c r="G166" s="930"/>
      <c r="H166" s="911"/>
      <c r="I166" s="20" t="s">
        <v>68</v>
      </c>
      <c r="J166" s="63">
        <v>70000</v>
      </c>
      <c r="K166" s="20" t="s">
        <v>50</v>
      </c>
      <c r="L166" s="20">
        <v>6</v>
      </c>
      <c r="M166" s="20" t="s">
        <v>69</v>
      </c>
      <c r="N166" s="20" t="s">
        <v>50</v>
      </c>
      <c r="O166" s="20">
        <v>4</v>
      </c>
      <c r="P166" s="20" t="s">
        <v>70</v>
      </c>
      <c r="Q166" s="20" t="s">
        <v>43</v>
      </c>
      <c r="R166" s="64">
        <f>J166*L166*O166</f>
        <v>1680000</v>
      </c>
      <c r="S166" s="7"/>
      <c r="T166" s="7"/>
    </row>
    <row r="167" spans="1:22" s="8" customFormat="1" ht="16.5" customHeight="1">
      <c r="A167" s="23"/>
      <c r="B167" s="20"/>
      <c r="C167" s="901"/>
      <c r="D167" s="487"/>
      <c r="E167" s="926"/>
      <c r="F167" s="926"/>
      <c r="G167" s="930"/>
      <c r="H167" s="911"/>
      <c r="I167" s="20" t="s">
        <v>71</v>
      </c>
      <c r="J167" s="63">
        <v>35000</v>
      </c>
      <c r="K167" s="20" t="s">
        <v>50</v>
      </c>
      <c r="L167" s="20">
        <v>6</v>
      </c>
      <c r="M167" s="20" t="s">
        <v>69</v>
      </c>
      <c r="N167" s="20" t="s">
        <v>50</v>
      </c>
      <c r="O167" s="20">
        <v>4</v>
      </c>
      <c r="P167" s="20" t="s">
        <v>70</v>
      </c>
      <c r="Q167" s="20" t="s">
        <v>43</v>
      </c>
      <c r="R167" s="64">
        <f>J167*L167*O167</f>
        <v>840000</v>
      </c>
      <c r="S167" s="7"/>
      <c r="T167" s="7"/>
    </row>
    <row r="168" spans="1:22" s="8" customFormat="1" ht="16.5" customHeight="1">
      <c r="A168" s="497"/>
      <c r="B168" s="18"/>
      <c r="C168" s="887"/>
      <c r="D168" s="488"/>
      <c r="E168" s="932"/>
      <c r="F168" s="932"/>
      <c r="G168" s="931"/>
      <c r="H168" s="915"/>
      <c r="I168" s="18"/>
      <c r="J168" s="17"/>
      <c r="K168" s="18"/>
      <c r="L168" s="18"/>
      <c r="M168" s="18"/>
      <c r="N168" s="18"/>
      <c r="O168" s="18"/>
      <c r="P168" s="18"/>
      <c r="Q168" s="18" t="s">
        <v>23</v>
      </c>
      <c r="R168" s="110">
        <f>SUM(R165:R167)</f>
        <v>3720000</v>
      </c>
      <c r="S168" s="7">
        <v>0</v>
      </c>
      <c r="T168" s="7">
        <f>R168-S168</f>
        <v>3720000</v>
      </c>
    </row>
    <row r="169" spans="1:22" s="8" customFormat="1" ht="15" customHeight="1">
      <c r="A169" s="23"/>
      <c r="B169" s="895" t="s">
        <v>72</v>
      </c>
      <c r="C169" s="32"/>
      <c r="D169" s="31"/>
      <c r="E169" s="503">
        <f>E171+E176+E211+E222+E237+E243+E247</f>
        <v>102755</v>
      </c>
      <c r="F169" s="503">
        <f>F171+F176+F211+F222+F237+F243+F247</f>
        <v>100870.75</v>
      </c>
      <c r="G169" s="933">
        <f>F169+F170-E169-E170</f>
        <v>-10474.040000000008</v>
      </c>
      <c r="H169" s="910">
        <f>G169/(E169+E170)</f>
        <v>-6.0667724708362826E-2</v>
      </c>
      <c r="I169" s="20" t="s">
        <v>73</v>
      </c>
      <c r="J169" s="21"/>
      <c r="K169" s="20"/>
      <c r="L169" s="20"/>
      <c r="M169" s="20"/>
      <c r="N169" s="20"/>
      <c r="O169" s="20"/>
      <c r="P169" s="20"/>
      <c r="Q169" s="20"/>
      <c r="R169" s="22"/>
      <c r="S169" s="7"/>
      <c r="T169" s="7"/>
    </row>
    <row r="170" spans="1:22" s="8" customFormat="1" ht="15" customHeight="1">
      <c r="A170" s="497"/>
      <c r="B170" s="887"/>
      <c r="C170" s="495"/>
      <c r="D170" s="111"/>
      <c r="E170" s="30">
        <f>E173+E177+E213+E223+E241+E245+E249</f>
        <v>69891</v>
      </c>
      <c r="F170" s="30">
        <f>F173+F177+F213+F223+F241+F245+F249</f>
        <v>61301.21</v>
      </c>
      <c r="G170" s="934"/>
      <c r="H170" s="915"/>
      <c r="I170" s="18"/>
      <c r="J170" s="17"/>
      <c r="K170" s="18"/>
      <c r="L170" s="18"/>
      <c r="M170" s="18"/>
      <c r="N170" s="18"/>
      <c r="O170" s="18"/>
      <c r="P170" s="18"/>
      <c r="Q170" s="18"/>
      <c r="R170" s="25">
        <f>SUM(R175,R210,R220,R236,R242,R246,R250)</f>
        <v>162171960</v>
      </c>
      <c r="S170" s="7">
        <f>SUM(S175,S210,S220,S236,S242,S246,S250)</f>
        <v>100870750</v>
      </c>
      <c r="T170" s="7">
        <f>SUM(T175,T210,T220,T236,T242,T246,T250)</f>
        <v>61301210</v>
      </c>
    </row>
    <row r="171" spans="1:22" s="8" customFormat="1" ht="15" customHeight="1">
      <c r="A171" s="23"/>
      <c r="B171" s="20"/>
      <c r="C171" s="901" t="s">
        <v>74</v>
      </c>
      <c r="D171" s="34"/>
      <c r="E171" s="917">
        <v>45</v>
      </c>
      <c r="F171" s="917">
        <f>S175/1000</f>
        <v>36</v>
      </c>
      <c r="G171" s="935">
        <f>F171+F173-E171-E173</f>
        <v>3455</v>
      </c>
      <c r="H171" s="911">
        <f>G171/(E171+E173)</f>
        <v>2.2362459546925568</v>
      </c>
      <c r="I171" s="112" t="s">
        <v>75</v>
      </c>
      <c r="J171" s="113">
        <v>3000</v>
      </c>
      <c r="K171" s="112" t="s">
        <v>20</v>
      </c>
      <c r="L171" s="112">
        <v>12</v>
      </c>
      <c r="M171" s="112" t="s">
        <v>19</v>
      </c>
      <c r="N171" s="112"/>
      <c r="O171" s="112"/>
      <c r="P171" s="112"/>
      <c r="Q171" s="112" t="s">
        <v>43</v>
      </c>
      <c r="R171" s="114">
        <f>J171*L171</f>
        <v>36000</v>
      </c>
      <c r="S171" s="7"/>
      <c r="T171" s="7"/>
    </row>
    <row r="172" spans="1:22" s="8" customFormat="1" ht="15" customHeight="1">
      <c r="A172" s="23"/>
      <c r="B172" s="20"/>
      <c r="C172" s="901"/>
      <c r="D172" s="34"/>
      <c r="E172" s="918"/>
      <c r="F172" s="918"/>
      <c r="G172" s="935"/>
      <c r="H172" s="911"/>
      <c r="I172" s="20"/>
      <c r="J172" s="63">
        <v>313670</v>
      </c>
      <c r="K172" s="20" t="s">
        <v>20</v>
      </c>
      <c r="L172" s="20">
        <v>12</v>
      </c>
      <c r="M172" s="20" t="s">
        <v>19</v>
      </c>
      <c r="N172" s="20"/>
      <c r="O172" s="20"/>
      <c r="P172" s="20"/>
      <c r="Q172" s="20" t="s">
        <v>43</v>
      </c>
      <c r="R172" s="64">
        <f>J172*L172-40</f>
        <v>3764000</v>
      </c>
      <c r="S172" s="7"/>
      <c r="T172" s="7"/>
    </row>
    <row r="173" spans="1:22" s="8" customFormat="1" ht="15" customHeight="1">
      <c r="A173" s="23"/>
      <c r="B173" s="20"/>
      <c r="C173" s="901"/>
      <c r="D173" s="34"/>
      <c r="E173" s="503">
        <v>1500</v>
      </c>
      <c r="F173" s="503">
        <f>T175/1000</f>
        <v>4964</v>
      </c>
      <c r="G173" s="935"/>
      <c r="H173" s="911"/>
      <c r="I173" s="20" t="s">
        <v>76</v>
      </c>
      <c r="J173" s="63">
        <v>600000</v>
      </c>
      <c r="K173" s="20" t="s">
        <v>24</v>
      </c>
      <c r="L173" s="20">
        <v>2</v>
      </c>
      <c r="M173" s="20" t="s">
        <v>25</v>
      </c>
      <c r="N173" s="20"/>
      <c r="O173" s="20"/>
      <c r="P173" s="20"/>
      <c r="Q173" s="20" t="s">
        <v>22</v>
      </c>
      <c r="R173" s="64">
        <f>J173*L173</f>
        <v>1200000</v>
      </c>
      <c r="S173" s="7"/>
      <c r="T173" s="7"/>
    </row>
    <row r="174" spans="1:22" s="8" customFormat="1" ht="15" customHeight="1">
      <c r="A174" s="23"/>
      <c r="B174" s="20"/>
      <c r="C174" s="487"/>
      <c r="D174" s="34"/>
      <c r="E174" s="44"/>
      <c r="F174" s="44"/>
      <c r="G174" s="506"/>
      <c r="H174" s="491"/>
      <c r="I174" s="20"/>
      <c r="J174" s="63"/>
      <c r="K174" s="20"/>
      <c r="L174" s="20"/>
      <c r="M174" s="20"/>
      <c r="N174" s="20"/>
      <c r="O174" s="20"/>
      <c r="P174" s="20"/>
      <c r="Q174" s="20"/>
      <c r="R174" s="64"/>
      <c r="S174" s="7"/>
      <c r="T174" s="7"/>
    </row>
    <row r="175" spans="1:22" s="8" customFormat="1" ht="15" customHeight="1">
      <c r="A175" s="23"/>
      <c r="B175" s="22"/>
      <c r="C175" s="497"/>
      <c r="D175" s="115"/>
      <c r="E175" s="50"/>
      <c r="F175" s="50"/>
      <c r="G175" s="533"/>
      <c r="H175" s="514"/>
      <c r="I175" s="116"/>
      <c r="J175" s="17"/>
      <c r="K175" s="18"/>
      <c r="L175" s="18"/>
      <c r="M175" s="18"/>
      <c r="N175" s="18"/>
      <c r="O175" s="18"/>
      <c r="P175" s="18"/>
      <c r="Q175" s="18" t="s">
        <v>23</v>
      </c>
      <c r="R175" s="25">
        <f>SUM(R171:R173)</f>
        <v>5000000</v>
      </c>
      <c r="S175" s="7">
        <f>SUM(R171)</f>
        <v>36000</v>
      </c>
      <c r="T175" s="7">
        <f>R175-S175</f>
        <v>4964000</v>
      </c>
    </row>
    <row r="176" spans="1:22" s="8" customFormat="1" ht="15" customHeight="1">
      <c r="A176" s="23"/>
      <c r="B176" s="22"/>
      <c r="C176" s="886" t="s">
        <v>77</v>
      </c>
      <c r="D176" s="117"/>
      <c r="E176" s="501">
        <v>24675</v>
      </c>
      <c r="F176" s="501">
        <f>S210/1000</f>
        <v>25554.75</v>
      </c>
      <c r="G176" s="933">
        <f>F176+F177-E176-E177</f>
        <v>1407.8399999999965</v>
      </c>
      <c r="H176" s="910">
        <f>G176/(E176+E177)</f>
        <v>3.1367586114700696E-2</v>
      </c>
      <c r="I176" s="118" t="s">
        <v>78</v>
      </c>
      <c r="J176" s="119">
        <v>200000</v>
      </c>
      <c r="K176" s="118" t="s">
        <v>24</v>
      </c>
      <c r="L176" s="118">
        <v>12</v>
      </c>
      <c r="M176" s="118" t="s">
        <v>34</v>
      </c>
      <c r="N176" s="118"/>
      <c r="O176" s="118"/>
      <c r="P176" s="118"/>
      <c r="Q176" s="118" t="s">
        <v>22</v>
      </c>
      <c r="R176" s="120">
        <f t="shared" ref="R176:R184" si="6">J176*L176</f>
        <v>2400000</v>
      </c>
      <c r="S176" s="7"/>
      <c r="T176" s="7"/>
    </row>
    <row r="177" spans="1:22" s="8" customFormat="1" ht="15" customHeight="1">
      <c r="A177" s="23"/>
      <c r="B177" s="22"/>
      <c r="C177" s="924"/>
      <c r="D177" s="121"/>
      <c r="E177" s="508">
        <v>20207</v>
      </c>
      <c r="F177" s="58">
        <f>T210/1000</f>
        <v>20735.09</v>
      </c>
      <c r="G177" s="935"/>
      <c r="H177" s="911"/>
      <c r="I177" s="35" t="s">
        <v>1020</v>
      </c>
      <c r="J177" s="79">
        <v>50000</v>
      </c>
      <c r="K177" s="20" t="s">
        <v>20</v>
      </c>
      <c r="L177" s="20">
        <v>12</v>
      </c>
      <c r="M177" s="20" t="s">
        <v>19</v>
      </c>
      <c r="N177" s="20"/>
      <c r="O177" s="20"/>
      <c r="P177" s="20"/>
      <c r="Q177" s="20" t="s">
        <v>22</v>
      </c>
      <c r="R177" s="68">
        <f t="shared" si="6"/>
        <v>600000</v>
      </c>
      <c r="S177" s="7"/>
      <c r="T177" s="7"/>
    </row>
    <row r="178" spans="1:22" s="8" customFormat="1" ht="15" customHeight="1">
      <c r="A178" s="23"/>
      <c r="B178" s="20"/>
      <c r="C178" s="32"/>
      <c r="D178" s="102"/>
      <c r="E178" s="33"/>
      <c r="F178" s="33"/>
      <c r="G178" s="122"/>
      <c r="H178" s="502"/>
      <c r="I178" s="175" t="s">
        <v>1021</v>
      </c>
      <c r="J178" s="113">
        <v>300000</v>
      </c>
      <c r="K178" s="112" t="s">
        <v>20</v>
      </c>
      <c r="L178" s="112">
        <v>12</v>
      </c>
      <c r="M178" s="112" t="s">
        <v>19</v>
      </c>
      <c r="N178" s="112"/>
      <c r="O178" s="112"/>
      <c r="P178" s="112"/>
      <c r="Q178" s="112" t="s">
        <v>22</v>
      </c>
      <c r="R178" s="114">
        <f t="shared" si="6"/>
        <v>3600000</v>
      </c>
      <c r="S178" s="7"/>
      <c r="T178" s="7"/>
    </row>
    <row r="179" spans="1:22" s="8" customFormat="1" ht="15" customHeight="1">
      <c r="A179" s="23"/>
      <c r="B179" s="20"/>
      <c r="C179" s="32"/>
      <c r="D179" s="102"/>
      <c r="E179" s="33"/>
      <c r="F179" s="33"/>
      <c r="G179" s="122"/>
      <c r="H179" s="123"/>
      <c r="I179" s="35" t="s">
        <v>1021</v>
      </c>
      <c r="J179" s="79">
        <v>100000</v>
      </c>
      <c r="K179" s="20" t="s">
        <v>20</v>
      </c>
      <c r="L179" s="20">
        <v>12</v>
      </c>
      <c r="M179" s="20" t="s">
        <v>19</v>
      </c>
      <c r="N179" s="20"/>
      <c r="O179" s="20"/>
      <c r="P179" s="20"/>
      <c r="Q179" s="20" t="s">
        <v>22</v>
      </c>
      <c r="R179" s="68">
        <f t="shared" si="6"/>
        <v>1200000</v>
      </c>
      <c r="S179" s="7"/>
      <c r="T179" s="7"/>
    </row>
    <row r="180" spans="1:22" s="8" customFormat="1" ht="15" customHeight="1">
      <c r="A180" s="23"/>
      <c r="B180" s="20"/>
      <c r="C180" s="32"/>
      <c r="D180" s="102"/>
      <c r="E180" s="33"/>
      <c r="F180" s="33"/>
      <c r="G180" s="122"/>
      <c r="H180" s="123"/>
      <c r="I180" s="35" t="s">
        <v>79</v>
      </c>
      <c r="J180" s="79">
        <v>90000</v>
      </c>
      <c r="K180" s="20" t="s">
        <v>20</v>
      </c>
      <c r="L180" s="20">
        <v>12</v>
      </c>
      <c r="M180" s="20" t="s">
        <v>19</v>
      </c>
      <c r="N180" s="20"/>
      <c r="O180" s="20"/>
      <c r="P180" s="20"/>
      <c r="Q180" s="20" t="s">
        <v>22</v>
      </c>
      <c r="R180" s="64">
        <f t="shared" si="6"/>
        <v>1080000</v>
      </c>
      <c r="S180" s="7"/>
      <c r="T180" s="7"/>
    </row>
    <row r="181" spans="1:22" s="8" customFormat="1" ht="15" customHeight="1">
      <c r="A181" s="23"/>
      <c r="B181" s="22"/>
      <c r="C181" s="32"/>
      <c r="D181" s="102"/>
      <c r="E181" s="33"/>
      <c r="F181" s="33"/>
      <c r="G181" s="122"/>
      <c r="H181" s="123"/>
      <c r="I181" s="35" t="s">
        <v>80</v>
      </c>
      <c r="J181" s="79">
        <v>130000</v>
      </c>
      <c r="K181" s="20" t="s">
        <v>20</v>
      </c>
      <c r="L181" s="20">
        <v>12</v>
      </c>
      <c r="M181" s="20" t="s">
        <v>19</v>
      </c>
      <c r="N181" s="20"/>
      <c r="O181" s="20"/>
      <c r="P181" s="20"/>
      <c r="Q181" s="20" t="s">
        <v>22</v>
      </c>
      <c r="R181" s="64">
        <f t="shared" si="6"/>
        <v>1560000</v>
      </c>
      <c r="S181" s="7"/>
      <c r="T181" s="7"/>
    </row>
    <row r="182" spans="1:22" s="11" customFormat="1" ht="15" customHeight="1">
      <c r="A182" s="38"/>
      <c r="B182" s="4"/>
      <c r="C182" s="38"/>
      <c r="D182" s="4"/>
      <c r="E182" s="124"/>
      <c r="F182" s="124"/>
      <c r="G182" s="4"/>
      <c r="H182" s="125"/>
      <c r="I182" s="35" t="s">
        <v>81</v>
      </c>
      <c r="J182" s="79">
        <v>1540000</v>
      </c>
      <c r="K182" s="126" t="s">
        <v>20</v>
      </c>
      <c r="L182" s="126">
        <v>1</v>
      </c>
      <c r="M182" s="127" t="s">
        <v>82</v>
      </c>
      <c r="N182" s="126"/>
      <c r="O182" s="126"/>
      <c r="P182" s="126"/>
      <c r="Q182" s="126" t="s">
        <v>22</v>
      </c>
      <c r="R182" s="68">
        <f t="shared" si="6"/>
        <v>1540000</v>
      </c>
      <c r="S182" s="128"/>
      <c r="T182" s="7"/>
      <c r="U182" s="129"/>
      <c r="V182" s="129"/>
    </row>
    <row r="183" spans="1:22" s="11" customFormat="1" ht="15" customHeight="1">
      <c r="A183" s="38"/>
      <c r="B183" s="4"/>
      <c r="C183" s="38"/>
      <c r="D183" s="4"/>
      <c r="E183" s="124"/>
      <c r="F183" s="124"/>
      <c r="G183" s="4"/>
      <c r="H183" s="125"/>
      <c r="I183" s="35" t="s">
        <v>83</v>
      </c>
      <c r="J183" s="79">
        <v>7500000</v>
      </c>
      <c r="K183" s="126" t="s">
        <v>20</v>
      </c>
      <c r="L183" s="126">
        <v>1</v>
      </c>
      <c r="M183" s="126" t="s">
        <v>82</v>
      </c>
      <c r="N183" s="126"/>
      <c r="O183" s="126"/>
      <c r="P183" s="126"/>
      <c r="Q183" s="126" t="s">
        <v>22</v>
      </c>
      <c r="R183" s="68">
        <f t="shared" si="6"/>
        <v>7500000</v>
      </c>
      <c r="S183" s="128"/>
      <c r="T183" s="7"/>
      <c r="U183" s="129"/>
      <c r="V183" s="129"/>
    </row>
    <row r="184" spans="1:22" s="8" customFormat="1" ht="15" customHeight="1">
      <c r="A184" s="23"/>
      <c r="B184" s="20"/>
      <c r="C184" s="32"/>
      <c r="D184" s="102"/>
      <c r="E184" s="33"/>
      <c r="F184" s="33"/>
      <c r="G184" s="122"/>
      <c r="H184" s="123"/>
      <c r="I184" s="130" t="s">
        <v>84</v>
      </c>
      <c r="J184" s="79">
        <v>61050</v>
      </c>
      <c r="K184" s="126" t="s">
        <v>20</v>
      </c>
      <c r="L184" s="126">
        <v>12</v>
      </c>
      <c r="M184" s="127" t="s">
        <v>19</v>
      </c>
      <c r="N184" s="126"/>
      <c r="O184" s="126"/>
      <c r="P184" s="126"/>
      <c r="Q184" s="126" t="s">
        <v>22</v>
      </c>
      <c r="R184" s="68">
        <f t="shared" si="6"/>
        <v>732600</v>
      </c>
      <c r="S184" s="37"/>
      <c r="T184" s="7"/>
      <c r="U184" s="109"/>
      <c r="V184" s="109"/>
    </row>
    <row r="185" spans="1:22" s="8" customFormat="1" ht="15" hidden="1" customHeight="1">
      <c r="A185" s="23"/>
      <c r="B185" s="20"/>
      <c r="C185" s="32"/>
      <c r="D185" s="102"/>
      <c r="E185" s="33"/>
      <c r="F185" s="33"/>
      <c r="G185" s="122"/>
      <c r="H185" s="123"/>
      <c r="I185" s="130" t="s">
        <v>85</v>
      </c>
      <c r="J185" s="79">
        <v>30000</v>
      </c>
      <c r="K185" s="20" t="s">
        <v>15</v>
      </c>
      <c r="L185" s="20">
        <v>0</v>
      </c>
      <c r="M185" s="20" t="s">
        <v>86</v>
      </c>
      <c r="N185" s="20"/>
      <c r="O185" s="20"/>
      <c r="P185" s="20"/>
      <c r="Q185" s="20" t="s">
        <v>18</v>
      </c>
      <c r="R185" s="68">
        <v>0</v>
      </c>
      <c r="S185" s="37"/>
      <c r="T185" s="7"/>
      <c r="U185" s="109"/>
      <c r="V185" s="109"/>
    </row>
    <row r="186" spans="1:22" s="8" customFormat="1" ht="15" customHeight="1">
      <c r="A186" s="23"/>
      <c r="B186" s="20"/>
      <c r="C186" s="32"/>
      <c r="D186" s="102"/>
      <c r="E186" s="33"/>
      <c r="F186" s="33"/>
      <c r="G186" s="122"/>
      <c r="H186" s="123"/>
      <c r="I186" s="131" t="s">
        <v>87</v>
      </c>
      <c r="J186" s="113">
        <v>120560</v>
      </c>
      <c r="K186" s="132" t="s">
        <v>15</v>
      </c>
      <c r="L186" s="132">
        <v>1</v>
      </c>
      <c r="M186" s="132" t="s">
        <v>59</v>
      </c>
      <c r="N186" s="132"/>
      <c r="O186" s="132"/>
      <c r="P186" s="132"/>
      <c r="Q186" s="132" t="s">
        <v>18</v>
      </c>
      <c r="R186" s="133">
        <f>L186*J186</f>
        <v>120560</v>
      </c>
      <c r="S186" s="37"/>
      <c r="T186" s="7"/>
      <c r="U186" s="109"/>
      <c r="V186" s="109"/>
    </row>
    <row r="187" spans="1:22" s="8" customFormat="1" ht="15" customHeight="1">
      <c r="A187" s="23"/>
      <c r="B187" s="20"/>
      <c r="C187" s="32"/>
      <c r="D187" s="102"/>
      <c r="E187" s="33"/>
      <c r="F187" s="33"/>
      <c r="G187" s="122"/>
      <c r="H187" s="123"/>
      <c r="I187" s="131" t="s">
        <v>88</v>
      </c>
      <c r="J187" s="134">
        <v>48000</v>
      </c>
      <c r="K187" s="132" t="s">
        <v>20</v>
      </c>
      <c r="L187" s="132">
        <v>1</v>
      </c>
      <c r="M187" s="132" t="s">
        <v>82</v>
      </c>
      <c r="N187" s="132"/>
      <c r="O187" s="132"/>
      <c r="P187" s="132"/>
      <c r="Q187" s="132" t="s">
        <v>22</v>
      </c>
      <c r="R187" s="135">
        <f t="shared" ref="R187:R202" si="7">J187*L187</f>
        <v>48000</v>
      </c>
      <c r="S187" s="37"/>
      <c r="T187" s="7"/>
      <c r="U187" s="109"/>
      <c r="V187" s="109"/>
    </row>
    <row r="188" spans="1:22" s="8" customFormat="1" ht="15" customHeight="1">
      <c r="A188" s="23"/>
      <c r="B188" s="20"/>
      <c r="C188" s="32"/>
      <c r="D188" s="102"/>
      <c r="E188" s="33"/>
      <c r="F188" s="33"/>
      <c r="G188" s="122"/>
      <c r="H188" s="123"/>
      <c r="I188" s="131" t="s">
        <v>89</v>
      </c>
      <c r="J188" s="134">
        <v>49390</v>
      </c>
      <c r="K188" s="132" t="s">
        <v>20</v>
      </c>
      <c r="L188" s="132">
        <v>1</v>
      </c>
      <c r="M188" s="132" t="s">
        <v>82</v>
      </c>
      <c r="N188" s="132"/>
      <c r="O188" s="132"/>
      <c r="P188" s="132"/>
      <c r="Q188" s="132" t="s">
        <v>22</v>
      </c>
      <c r="R188" s="135">
        <f t="shared" si="7"/>
        <v>49390</v>
      </c>
      <c r="S188" s="37"/>
      <c r="T188" s="7"/>
      <c r="U188" s="109"/>
      <c r="V188" s="109"/>
    </row>
    <row r="189" spans="1:22" s="8" customFormat="1" ht="15" customHeight="1">
      <c r="A189" s="23"/>
      <c r="B189" s="20"/>
      <c r="C189" s="32"/>
      <c r="D189" s="102"/>
      <c r="E189" s="33"/>
      <c r="F189" s="33"/>
      <c r="G189" s="122"/>
      <c r="H189" s="123"/>
      <c r="I189" s="130" t="s">
        <v>89</v>
      </c>
      <c r="J189" s="79">
        <v>2610</v>
      </c>
      <c r="K189" s="21" t="s">
        <v>20</v>
      </c>
      <c r="L189" s="21">
        <v>1</v>
      </c>
      <c r="M189" s="21" t="s">
        <v>1049</v>
      </c>
      <c r="N189" s="21"/>
      <c r="O189" s="21"/>
      <c r="P189" s="21"/>
      <c r="Q189" s="21" t="s">
        <v>22</v>
      </c>
      <c r="R189" s="98">
        <f>J189*L189</f>
        <v>2610</v>
      </c>
      <c r="S189" s="37"/>
      <c r="T189" s="7"/>
      <c r="U189" s="109"/>
      <c r="V189" s="109"/>
    </row>
    <row r="190" spans="1:22" s="8" customFormat="1" ht="15" customHeight="1">
      <c r="A190" s="23"/>
      <c r="B190" s="20"/>
      <c r="C190" s="32"/>
      <c r="D190" s="102"/>
      <c r="E190" s="33"/>
      <c r="F190" s="33"/>
      <c r="G190" s="122"/>
      <c r="H190" s="123"/>
      <c r="I190" s="130" t="s">
        <v>90</v>
      </c>
      <c r="J190" s="79">
        <v>440000</v>
      </c>
      <c r="K190" s="21" t="s">
        <v>20</v>
      </c>
      <c r="L190" s="21">
        <v>1</v>
      </c>
      <c r="M190" s="21" t="s">
        <v>91</v>
      </c>
      <c r="N190" s="21"/>
      <c r="O190" s="21"/>
      <c r="P190" s="21"/>
      <c r="Q190" s="21" t="s">
        <v>22</v>
      </c>
      <c r="R190" s="98">
        <f t="shared" si="7"/>
        <v>440000</v>
      </c>
      <c r="S190" s="37"/>
      <c r="T190" s="7"/>
      <c r="U190" s="109"/>
      <c r="V190" s="109"/>
    </row>
    <row r="191" spans="1:22" s="8" customFormat="1" ht="15" customHeight="1">
      <c r="A191" s="23"/>
      <c r="B191" s="20"/>
      <c r="C191" s="32"/>
      <c r="D191" s="102"/>
      <c r="E191" s="33"/>
      <c r="F191" s="33"/>
      <c r="G191" s="122"/>
      <c r="H191" s="123"/>
      <c r="I191" s="131" t="s">
        <v>92</v>
      </c>
      <c r="J191" s="113">
        <v>154000</v>
      </c>
      <c r="K191" s="113" t="s">
        <v>20</v>
      </c>
      <c r="L191" s="113">
        <v>12</v>
      </c>
      <c r="M191" s="113" t="s">
        <v>19</v>
      </c>
      <c r="N191" s="113"/>
      <c r="O191" s="113"/>
      <c r="P191" s="113"/>
      <c r="Q191" s="113" t="s">
        <v>22</v>
      </c>
      <c r="R191" s="136">
        <f t="shared" si="7"/>
        <v>1848000</v>
      </c>
      <c r="S191" s="37"/>
      <c r="T191" s="7"/>
      <c r="U191" s="109"/>
      <c r="V191" s="109"/>
    </row>
    <row r="192" spans="1:22" s="94" customFormat="1" ht="15" customHeight="1">
      <c r="A192" s="23"/>
      <c r="B192" s="20"/>
      <c r="C192" s="32"/>
      <c r="D192" s="102"/>
      <c r="E192" s="33"/>
      <c r="F192" s="33"/>
      <c r="G192" s="122"/>
      <c r="H192" s="123"/>
      <c r="I192" s="130"/>
      <c r="J192" s="79">
        <v>46000</v>
      </c>
      <c r="K192" s="126" t="s">
        <v>20</v>
      </c>
      <c r="L192" s="126">
        <v>12</v>
      </c>
      <c r="M192" s="127" t="s">
        <v>19</v>
      </c>
      <c r="N192" s="126"/>
      <c r="O192" s="126"/>
      <c r="P192" s="126"/>
      <c r="Q192" s="126" t="s">
        <v>22</v>
      </c>
      <c r="R192" s="68">
        <f t="shared" si="7"/>
        <v>552000</v>
      </c>
      <c r="S192" s="21"/>
      <c r="T192" s="93"/>
      <c r="U192" s="20"/>
      <c r="V192" s="20"/>
    </row>
    <row r="193" spans="1:22" s="8" customFormat="1" ht="15" customHeight="1">
      <c r="A193" s="23"/>
      <c r="B193" s="20"/>
      <c r="C193" s="32"/>
      <c r="D193" s="102"/>
      <c r="E193" s="33"/>
      <c r="F193" s="33"/>
      <c r="G193" s="122"/>
      <c r="H193" s="123"/>
      <c r="I193" s="131" t="s">
        <v>93</v>
      </c>
      <c r="J193" s="113">
        <v>275000</v>
      </c>
      <c r="K193" s="113" t="s">
        <v>20</v>
      </c>
      <c r="L193" s="113">
        <v>12</v>
      </c>
      <c r="M193" s="113" t="s">
        <v>19</v>
      </c>
      <c r="N193" s="113"/>
      <c r="O193" s="113"/>
      <c r="P193" s="113"/>
      <c r="Q193" s="113" t="s">
        <v>22</v>
      </c>
      <c r="R193" s="136">
        <f t="shared" si="7"/>
        <v>3300000</v>
      </c>
      <c r="S193" s="37"/>
      <c r="T193" s="7"/>
      <c r="U193" s="109"/>
      <c r="V193" s="109"/>
    </row>
    <row r="194" spans="1:22" s="8" customFormat="1" ht="15" customHeight="1">
      <c r="A194" s="23"/>
      <c r="B194" s="20"/>
      <c r="C194" s="32"/>
      <c r="D194" s="102"/>
      <c r="E194" s="33"/>
      <c r="F194" s="33"/>
      <c r="G194" s="122"/>
      <c r="H194" s="123"/>
      <c r="I194" s="131" t="s">
        <v>94</v>
      </c>
      <c r="J194" s="113">
        <v>132000</v>
      </c>
      <c r="K194" s="113" t="s">
        <v>20</v>
      </c>
      <c r="L194" s="113">
        <v>12</v>
      </c>
      <c r="M194" s="113" t="s">
        <v>19</v>
      </c>
      <c r="N194" s="113"/>
      <c r="O194" s="113"/>
      <c r="P194" s="113"/>
      <c r="Q194" s="113" t="s">
        <v>22</v>
      </c>
      <c r="R194" s="136">
        <f t="shared" si="7"/>
        <v>1584000</v>
      </c>
      <c r="S194" s="37"/>
      <c r="T194" s="7"/>
      <c r="U194" s="109"/>
      <c r="V194" s="109"/>
    </row>
    <row r="195" spans="1:22" s="8" customFormat="1" ht="15" customHeight="1">
      <c r="A195" s="23"/>
      <c r="B195" s="20"/>
      <c r="C195" s="32"/>
      <c r="D195" s="102"/>
      <c r="E195" s="33"/>
      <c r="F195" s="33"/>
      <c r="G195" s="122"/>
      <c r="H195" s="123"/>
      <c r="I195" s="131" t="s">
        <v>95</v>
      </c>
      <c r="J195" s="113">
        <v>138500</v>
      </c>
      <c r="K195" s="113" t="s">
        <v>20</v>
      </c>
      <c r="L195" s="113">
        <v>12</v>
      </c>
      <c r="M195" s="113" t="s">
        <v>19</v>
      </c>
      <c r="N195" s="113"/>
      <c r="O195" s="113"/>
      <c r="P195" s="113"/>
      <c r="Q195" s="113" t="s">
        <v>22</v>
      </c>
      <c r="R195" s="136">
        <f t="shared" si="7"/>
        <v>1662000</v>
      </c>
      <c r="S195" s="37"/>
      <c r="T195" s="7"/>
      <c r="U195" s="109"/>
      <c r="V195" s="109"/>
    </row>
    <row r="196" spans="1:22" s="8" customFormat="1" ht="15" customHeight="1">
      <c r="A196" s="23"/>
      <c r="B196" s="20"/>
      <c r="C196" s="32"/>
      <c r="D196" s="102"/>
      <c r="E196" s="33"/>
      <c r="F196" s="33"/>
      <c r="G196" s="122"/>
      <c r="H196" s="123"/>
      <c r="I196" s="131" t="s">
        <v>96</v>
      </c>
      <c r="J196" s="113">
        <v>37400</v>
      </c>
      <c r="K196" s="113" t="s">
        <v>20</v>
      </c>
      <c r="L196" s="113">
        <v>12</v>
      </c>
      <c r="M196" s="113" t="s">
        <v>19</v>
      </c>
      <c r="N196" s="113"/>
      <c r="O196" s="113"/>
      <c r="P196" s="113"/>
      <c r="Q196" s="113" t="s">
        <v>22</v>
      </c>
      <c r="R196" s="136">
        <f t="shared" si="7"/>
        <v>448800</v>
      </c>
      <c r="S196" s="37"/>
      <c r="T196" s="7"/>
      <c r="U196" s="109"/>
      <c r="V196" s="109"/>
    </row>
    <row r="197" spans="1:22" s="8" customFormat="1" ht="15" customHeight="1">
      <c r="A197" s="23"/>
      <c r="B197" s="20"/>
      <c r="C197" s="32"/>
      <c r="D197" s="102"/>
      <c r="E197" s="33"/>
      <c r="F197" s="33"/>
      <c r="G197" s="122"/>
      <c r="H197" s="123"/>
      <c r="I197" s="131" t="s">
        <v>97</v>
      </c>
      <c r="J197" s="113">
        <v>292000</v>
      </c>
      <c r="K197" s="113" t="s">
        <v>20</v>
      </c>
      <c r="L197" s="113">
        <v>12</v>
      </c>
      <c r="M197" s="113" t="s">
        <v>19</v>
      </c>
      <c r="N197" s="113"/>
      <c r="O197" s="113"/>
      <c r="P197" s="113"/>
      <c r="Q197" s="113" t="s">
        <v>22</v>
      </c>
      <c r="R197" s="136">
        <f t="shared" si="7"/>
        <v>3504000</v>
      </c>
      <c r="S197" s="37"/>
      <c r="T197" s="7"/>
      <c r="U197" s="109"/>
      <c r="V197" s="109"/>
    </row>
    <row r="198" spans="1:22" s="8" customFormat="1" ht="15" customHeight="1">
      <c r="A198" s="23"/>
      <c r="B198" s="20"/>
      <c r="C198" s="32"/>
      <c r="D198" s="102"/>
      <c r="E198" s="33"/>
      <c r="F198" s="33"/>
      <c r="G198" s="122"/>
      <c r="H198" s="123"/>
      <c r="I198" s="131" t="s">
        <v>98</v>
      </c>
      <c r="J198" s="113">
        <v>220000</v>
      </c>
      <c r="K198" s="113" t="s">
        <v>20</v>
      </c>
      <c r="L198" s="113">
        <v>12</v>
      </c>
      <c r="M198" s="113" t="s">
        <v>19</v>
      </c>
      <c r="N198" s="113"/>
      <c r="O198" s="113"/>
      <c r="P198" s="113"/>
      <c r="Q198" s="113" t="s">
        <v>22</v>
      </c>
      <c r="R198" s="136">
        <f t="shared" si="7"/>
        <v>2640000</v>
      </c>
      <c r="S198" s="37"/>
      <c r="T198" s="7"/>
      <c r="U198" s="109"/>
      <c r="V198" s="109"/>
    </row>
    <row r="199" spans="1:22" s="8" customFormat="1" ht="15" customHeight="1">
      <c r="A199" s="23"/>
      <c r="B199" s="20"/>
      <c r="C199" s="32"/>
      <c r="D199" s="102"/>
      <c r="E199" s="33"/>
      <c r="F199" s="33"/>
      <c r="G199" s="122"/>
      <c r="H199" s="123"/>
      <c r="I199" s="131" t="s">
        <v>99</v>
      </c>
      <c r="J199" s="113">
        <v>120000</v>
      </c>
      <c r="K199" s="113" t="s">
        <v>15</v>
      </c>
      <c r="L199" s="113">
        <v>6</v>
      </c>
      <c r="M199" s="113" t="s">
        <v>59</v>
      </c>
      <c r="N199" s="113"/>
      <c r="O199" s="113"/>
      <c r="P199" s="113"/>
      <c r="Q199" s="113" t="s">
        <v>18</v>
      </c>
      <c r="R199" s="136">
        <f>J199*L199</f>
        <v>720000</v>
      </c>
      <c r="S199" s="37"/>
      <c r="T199" s="7"/>
      <c r="U199" s="109"/>
      <c r="V199" s="109"/>
    </row>
    <row r="200" spans="1:22" s="8" customFormat="1" ht="15" customHeight="1">
      <c r="A200" s="23"/>
      <c r="B200" s="20"/>
      <c r="C200" s="32"/>
      <c r="D200" s="102"/>
      <c r="E200" s="33"/>
      <c r="F200" s="33"/>
      <c r="G200" s="122"/>
      <c r="H200" s="123"/>
      <c r="I200" s="130" t="s">
        <v>1237</v>
      </c>
      <c r="J200" s="79">
        <v>33000</v>
      </c>
      <c r="K200" s="21" t="s">
        <v>20</v>
      </c>
      <c r="L200" s="21">
        <v>36</v>
      </c>
      <c r="M200" s="21" t="s">
        <v>19</v>
      </c>
      <c r="N200" s="21"/>
      <c r="O200" s="21"/>
      <c r="P200" s="21"/>
      <c r="Q200" s="138" t="s">
        <v>1238</v>
      </c>
      <c r="R200" s="98">
        <f t="shared" si="7"/>
        <v>1188000</v>
      </c>
      <c r="S200" s="37"/>
      <c r="T200" s="7"/>
      <c r="U200" s="109"/>
      <c r="V200" s="109"/>
    </row>
    <row r="201" spans="1:22" s="8" customFormat="1" ht="15" hidden="1" customHeight="1">
      <c r="A201" s="23"/>
      <c r="B201" s="20"/>
      <c r="C201" s="32"/>
      <c r="D201" s="102"/>
      <c r="E201" s="33"/>
      <c r="F201" s="33"/>
      <c r="G201" s="122"/>
      <c r="H201" s="123"/>
      <c r="I201" s="130" t="s">
        <v>100</v>
      </c>
      <c r="J201" s="79"/>
      <c r="K201" s="21" t="s">
        <v>20</v>
      </c>
      <c r="L201" s="21">
        <v>0</v>
      </c>
      <c r="M201" s="21" t="s">
        <v>82</v>
      </c>
      <c r="N201" s="21"/>
      <c r="O201" s="21"/>
      <c r="P201" s="21"/>
      <c r="Q201" s="21"/>
      <c r="R201" s="98">
        <f t="shared" si="7"/>
        <v>0</v>
      </c>
      <c r="S201" s="37"/>
      <c r="T201" s="7"/>
      <c r="U201" s="109"/>
      <c r="V201" s="109"/>
    </row>
    <row r="202" spans="1:22" s="8" customFormat="1" ht="15" customHeight="1">
      <c r="A202" s="23"/>
      <c r="B202" s="20"/>
      <c r="C202" s="32"/>
      <c r="D202" s="102"/>
      <c r="E202" s="33"/>
      <c r="F202" s="33"/>
      <c r="G202" s="122"/>
      <c r="H202" s="123"/>
      <c r="I202" s="130" t="s">
        <v>1022</v>
      </c>
      <c r="J202" s="79">
        <v>1373880</v>
      </c>
      <c r="K202" s="21" t="s">
        <v>20</v>
      </c>
      <c r="L202" s="21">
        <v>1</v>
      </c>
      <c r="M202" s="21" t="s">
        <v>82</v>
      </c>
      <c r="N202" s="21"/>
      <c r="O202" s="21"/>
      <c r="P202" s="21"/>
      <c r="Q202" s="138" t="s">
        <v>22</v>
      </c>
      <c r="R202" s="98">
        <f t="shared" si="7"/>
        <v>1373880</v>
      </c>
      <c r="S202" s="37"/>
      <c r="T202" s="7"/>
      <c r="U202" s="109"/>
      <c r="V202" s="109"/>
    </row>
    <row r="203" spans="1:22" s="8" customFormat="1" ht="15" customHeight="1">
      <c r="A203" s="23"/>
      <c r="B203" s="20"/>
      <c r="C203" s="32"/>
      <c r="D203" s="102"/>
      <c r="E203" s="33"/>
      <c r="F203" s="33"/>
      <c r="G203" s="122"/>
      <c r="H203" s="123"/>
      <c r="I203" s="130" t="s">
        <v>101</v>
      </c>
      <c r="J203" s="79">
        <v>500000</v>
      </c>
      <c r="K203" s="21" t="s">
        <v>20</v>
      </c>
      <c r="L203" s="21">
        <v>1</v>
      </c>
      <c r="M203" s="21" t="s">
        <v>82</v>
      </c>
      <c r="N203" s="21"/>
      <c r="O203" s="21"/>
      <c r="P203" s="21"/>
      <c r="Q203" s="21" t="s">
        <v>22</v>
      </c>
      <c r="R203" s="98">
        <f t="shared" ref="R203:R208" si="8">J203*L203</f>
        <v>500000</v>
      </c>
      <c r="S203" s="37"/>
      <c r="T203" s="7"/>
      <c r="U203" s="109"/>
      <c r="V203" s="109"/>
    </row>
    <row r="204" spans="1:22" s="8" customFormat="1" ht="15" customHeight="1">
      <c r="A204" s="23"/>
      <c r="B204" s="20"/>
      <c r="C204" s="32"/>
      <c r="D204" s="102"/>
      <c r="E204" s="33"/>
      <c r="F204" s="33"/>
      <c r="G204" s="122"/>
      <c r="H204" s="123"/>
      <c r="I204" s="131" t="s">
        <v>102</v>
      </c>
      <c r="J204" s="113">
        <v>385000</v>
      </c>
      <c r="K204" s="113" t="s">
        <v>20</v>
      </c>
      <c r="L204" s="113">
        <v>2</v>
      </c>
      <c r="M204" s="113" t="s">
        <v>82</v>
      </c>
      <c r="N204" s="113"/>
      <c r="O204" s="113"/>
      <c r="P204" s="113"/>
      <c r="Q204" s="113"/>
      <c r="R204" s="136">
        <f t="shared" si="8"/>
        <v>770000</v>
      </c>
      <c r="S204" s="37"/>
      <c r="T204" s="7"/>
      <c r="U204" s="109"/>
      <c r="V204" s="109"/>
    </row>
    <row r="205" spans="1:22" s="8" customFormat="1" ht="15" customHeight="1">
      <c r="A205" s="23"/>
      <c r="B205" s="20"/>
      <c r="C205" s="32"/>
      <c r="D205" s="102"/>
      <c r="E205" s="33"/>
      <c r="F205" s="33"/>
      <c r="G205" s="122"/>
      <c r="H205" s="123"/>
      <c r="I205" s="130" t="s">
        <v>103</v>
      </c>
      <c r="J205" s="79">
        <v>66000</v>
      </c>
      <c r="K205" s="137" t="s">
        <v>20</v>
      </c>
      <c r="L205" s="137">
        <v>1</v>
      </c>
      <c r="M205" s="137" t="s">
        <v>82</v>
      </c>
      <c r="N205" s="137"/>
      <c r="O205" s="137"/>
      <c r="P205" s="137"/>
      <c r="Q205" s="137"/>
      <c r="R205" s="98">
        <f t="shared" si="8"/>
        <v>66000</v>
      </c>
      <c r="S205" s="37"/>
      <c r="T205" s="7"/>
      <c r="U205" s="109"/>
      <c r="V205" s="109"/>
    </row>
    <row r="206" spans="1:22" s="8" customFormat="1" ht="15" customHeight="1">
      <c r="A206" s="23"/>
      <c r="B206" s="20"/>
      <c r="C206" s="32"/>
      <c r="D206" s="102"/>
      <c r="E206" s="33"/>
      <c r="F206" s="33"/>
      <c r="G206" s="122"/>
      <c r="H206" s="123"/>
      <c r="I206" s="131" t="s">
        <v>104</v>
      </c>
      <c r="J206" s="113">
        <v>220000</v>
      </c>
      <c r="K206" s="113" t="s">
        <v>15</v>
      </c>
      <c r="L206" s="113">
        <v>12</v>
      </c>
      <c r="M206" s="113" t="s">
        <v>59</v>
      </c>
      <c r="N206" s="113"/>
      <c r="O206" s="113"/>
      <c r="P206" s="113"/>
      <c r="Q206" s="113" t="s">
        <v>18</v>
      </c>
      <c r="R206" s="136">
        <f t="shared" si="8"/>
        <v>2640000</v>
      </c>
      <c r="S206" s="37"/>
      <c r="T206" s="7"/>
      <c r="U206" s="109"/>
      <c r="V206" s="109"/>
    </row>
    <row r="207" spans="1:22" s="8" customFormat="1" ht="15" customHeight="1">
      <c r="A207" s="23"/>
      <c r="B207" s="20"/>
      <c r="C207" s="32"/>
      <c r="D207" s="102"/>
      <c r="E207" s="33"/>
      <c r="F207" s="33"/>
      <c r="G207" s="122"/>
      <c r="H207" s="123"/>
      <c r="I207" s="131" t="s">
        <v>105</v>
      </c>
      <c r="J207" s="113">
        <v>220000</v>
      </c>
      <c r="K207" s="113" t="s">
        <v>15</v>
      </c>
      <c r="L207" s="113">
        <v>1</v>
      </c>
      <c r="M207" s="113" t="s">
        <v>59</v>
      </c>
      <c r="N207" s="113"/>
      <c r="O207" s="113"/>
      <c r="P207" s="113"/>
      <c r="Q207" s="113" t="s">
        <v>18</v>
      </c>
      <c r="R207" s="136">
        <f t="shared" si="8"/>
        <v>220000</v>
      </c>
      <c r="S207" s="37"/>
      <c r="T207" s="7"/>
      <c r="U207" s="109"/>
      <c r="V207" s="109"/>
    </row>
    <row r="208" spans="1:22" s="8" customFormat="1" ht="15" customHeight="1">
      <c r="A208" s="23"/>
      <c r="B208" s="20"/>
      <c r="C208" s="32"/>
      <c r="D208" s="102"/>
      <c r="E208" s="33"/>
      <c r="F208" s="33"/>
      <c r="G208" s="122"/>
      <c r="H208" s="502"/>
      <c r="I208" s="35" t="s">
        <v>106</v>
      </c>
      <c r="J208" s="79">
        <v>200000</v>
      </c>
      <c r="K208" s="20" t="s">
        <v>20</v>
      </c>
      <c r="L208" s="20">
        <v>12</v>
      </c>
      <c r="M208" s="20" t="s">
        <v>19</v>
      </c>
      <c r="N208" s="20"/>
      <c r="O208" s="20"/>
      <c r="P208" s="20"/>
      <c r="Q208" s="20" t="s">
        <v>22</v>
      </c>
      <c r="R208" s="64">
        <f t="shared" si="8"/>
        <v>2400000</v>
      </c>
      <c r="S208" s="37"/>
      <c r="T208" s="7"/>
      <c r="U208" s="109"/>
      <c r="V208" s="109"/>
    </row>
    <row r="209" spans="1:22" s="8" customFormat="1" ht="15" customHeight="1">
      <c r="A209" s="23"/>
      <c r="B209" s="20"/>
      <c r="C209" s="32"/>
      <c r="D209" s="102"/>
      <c r="E209" s="33"/>
      <c r="F209" s="33"/>
      <c r="G209" s="122"/>
      <c r="H209" s="502"/>
      <c r="I209" s="20"/>
      <c r="J209" s="79"/>
      <c r="K209" s="20"/>
      <c r="L209" s="20"/>
      <c r="M209" s="20"/>
      <c r="N209" s="20"/>
      <c r="O209" s="20"/>
      <c r="P209" s="20"/>
      <c r="Q209" s="20"/>
      <c r="R209" s="68"/>
      <c r="S209" s="37"/>
      <c r="T209" s="7"/>
      <c r="U209" s="109"/>
      <c r="V209" s="109"/>
    </row>
    <row r="210" spans="1:22" s="8" customFormat="1" ht="15" customHeight="1">
      <c r="A210" s="23"/>
      <c r="B210" s="20"/>
      <c r="C210" s="495"/>
      <c r="D210" s="139"/>
      <c r="E210" s="140"/>
      <c r="F210" s="140"/>
      <c r="G210" s="141"/>
      <c r="H210" s="520"/>
      <c r="I210" s="18"/>
      <c r="J210" s="17"/>
      <c r="K210" s="18"/>
      <c r="L210" s="18"/>
      <c r="M210" s="18"/>
      <c r="N210" s="18"/>
      <c r="O210" s="18"/>
      <c r="P210" s="18"/>
      <c r="Q210" s="18" t="s">
        <v>23</v>
      </c>
      <c r="R210" s="25">
        <f>SUM(R176:R209)</f>
        <v>46289840</v>
      </c>
      <c r="S210" s="7">
        <f>R176+R178+R186+R187+R188+R191+R193+R194+R195+R196+R197+R198+R199+R204+R206+R207</f>
        <v>25554750</v>
      </c>
      <c r="T210" s="7">
        <f>R210-S210</f>
        <v>20735090</v>
      </c>
    </row>
    <row r="211" spans="1:22" s="8" customFormat="1" ht="15" customHeight="1">
      <c r="A211" s="23"/>
      <c r="B211" s="22"/>
      <c r="C211" s="895" t="s">
        <v>107</v>
      </c>
      <c r="D211" s="95"/>
      <c r="E211" s="503">
        <v>59677</v>
      </c>
      <c r="F211" s="503">
        <f>S220/1000</f>
        <v>58080</v>
      </c>
      <c r="G211" s="933">
        <f>F211+F213-E211-E213</f>
        <v>-12985</v>
      </c>
      <c r="H211" s="910">
        <f>G211/(E211+E213)</f>
        <v>-0.14575312328121318</v>
      </c>
      <c r="I211" s="112" t="s">
        <v>108</v>
      </c>
      <c r="J211" s="113">
        <v>2500000</v>
      </c>
      <c r="K211" s="112" t="s">
        <v>20</v>
      </c>
      <c r="L211" s="112">
        <v>12</v>
      </c>
      <c r="M211" s="112" t="s">
        <v>19</v>
      </c>
      <c r="N211" s="112"/>
      <c r="O211" s="112"/>
      <c r="P211" s="112"/>
      <c r="Q211" s="112" t="s">
        <v>43</v>
      </c>
      <c r="R211" s="120">
        <f t="shared" ref="R211:R218" si="9">J211*L211</f>
        <v>30000000</v>
      </c>
      <c r="S211" s="7"/>
      <c r="T211" s="7"/>
    </row>
    <row r="212" spans="1:22" s="8" customFormat="1" ht="15" customHeight="1">
      <c r="A212" s="23"/>
      <c r="B212" s="20"/>
      <c r="C212" s="901"/>
      <c r="D212" s="34"/>
      <c r="E212" s="512"/>
      <c r="F212" s="504"/>
      <c r="G212" s="935"/>
      <c r="H212" s="911"/>
      <c r="I212" s="20"/>
      <c r="J212" s="79">
        <v>200000</v>
      </c>
      <c r="K212" s="20" t="s">
        <v>15</v>
      </c>
      <c r="L212" s="20">
        <v>12</v>
      </c>
      <c r="M212" s="20" t="s">
        <v>17</v>
      </c>
      <c r="N212" s="20"/>
      <c r="O212" s="20"/>
      <c r="P212" s="20"/>
      <c r="Q212" s="20" t="s">
        <v>18</v>
      </c>
      <c r="R212" s="64">
        <f t="shared" si="9"/>
        <v>2400000</v>
      </c>
      <c r="S212" s="7"/>
      <c r="T212" s="7"/>
    </row>
    <row r="213" spans="1:22" s="8" customFormat="1" ht="15" customHeight="1">
      <c r="A213" s="23"/>
      <c r="B213" s="20"/>
      <c r="C213" s="901"/>
      <c r="D213" s="34"/>
      <c r="E213" s="508">
        <v>29412</v>
      </c>
      <c r="F213" s="58">
        <f>T220/1000</f>
        <v>18024</v>
      </c>
      <c r="G213" s="935"/>
      <c r="H213" s="911"/>
      <c r="I213" s="112" t="s">
        <v>109</v>
      </c>
      <c r="J213" s="134">
        <v>300000</v>
      </c>
      <c r="K213" s="132" t="s">
        <v>15</v>
      </c>
      <c r="L213" s="132">
        <v>12</v>
      </c>
      <c r="M213" s="112" t="s">
        <v>34</v>
      </c>
      <c r="N213" s="132"/>
      <c r="O213" s="132"/>
      <c r="P213" s="132"/>
      <c r="Q213" s="132" t="s">
        <v>18</v>
      </c>
      <c r="R213" s="114">
        <f t="shared" si="9"/>
        <v>3600000</v>
      </c>
      <c r="S213" s="7"/>
      <c r="T213" s="7"/>
    </row>
    <row r="214" spans="1:22" s="8" customFormat="1" ht="15" customHeight="1">
      <c r="A214" s="23"/>
      <c r="B214" s="20"/>
      <c r="C214" s="487"/>
      <c r="D214" s="489"/>
      <c r="E214" s="33"/>
      <c r="F214" s="142"/>
      <c r="G214" s="143"/>
      <c r="H214" s="491"/>
      <c r="I214" s="20"/>
      <c r="J214" s="79">
        <v>72000</v>
      </c>
      <c r="K214" s="20" t="s">
        <v>15</v>
      </c>
      <c r="L214" s="20">
        <v>12</v>
      </c>
      <c r="M214" s="20" t="s">
        <v>17</v>
      </c>
      <c r="N214" s="20"/>
      <c r="O214" s="20"/>
      <c r="P214" s="20"/>
      <c r="Q214" s="20" t="s">
        <v>18</v>
      </c>
      <c r="R214" s="64">
        <f t="shared" si="9"/>
        <v>864000</v>
      </c>
      <c r="S214" s="7"/>
      <c r="T214" s="7"/>
    </row>
    <row r="215" spans="1:22" s="8" customFormat="1" ht="15" customHeight="1">
      <c r="A215" s="23"/>
      <c r="B215" s="20"/>
      <c r="C215" s="32"/>
      <c r="D215" s="102"/>
      <c r="E215" s="33"/>
      <c r="F215" s="33"/>
      <c r="G215" s="489"/>
      <c r="H215" s="487"/>
      <c r="I215" s="112" t="s">
        <v>110</v>
      </c>
      <c r="J215" s="113">
        <v>2000000</v>
      </c>
      <c r="K215" s="112" t="s">
        <v>15</v>
      </c>
      <c r="L215" s="112">
        <v>12</v>
      </c>
      <c r="M215" s="112" t="s">
        <v>17</v>
      </c>
      <c r="N215" s="112"/>
      <c r="O215" s="112"/>
      <c r="P215" s="112"/>
      <c r="Q215" s="112" t="s">
        <v>18</v>
      </c>
      <c r="R215" s="114">
        <f t="shared" si="9"/>
        <v>24000000</v>
      </c>
      <c r="S215" s="7"/>
      <c r="T215" s="7"/>
    </row>
    <row r="216" spans="1:22" s="8" customFormat="1" ht="15" customHeight="1">
      <c r="A216" s="23"/>
      <c r="B216" s="20"/>
      <c r="C216" s="32"/>
      <c r="D216" s="102"/>
      <c r="E216" s="33"/>
      <c r="F216" s="33"/>
      <c r="G216" s="489"/>
      <c r="H216" s="487"/>
      <c r="I216" s="20"/>
      <c r="J216" s="79">
        <v>1200000</v>
      </c>
      <c r="K216" s="20" t="s">
        <v>15</v>
      </c>
      <c r="L216" s="20">
        <v>12</v>
      </c>
      <c r="M216" s="20" t="s">
        <v>17</v>
      </c>
      <c r="N216" s="20"/>
      <c r="O216" s="20"/>
      <c r="P216" s="20"/>
      <c r="Q216" s="20" t="s">
        <v>18</v>
      </c>
      <c r="R216" s="64">
        <f t="shared" si="9"/>
        <v>14400000</v>
      </c>
      <c r="S216" s="7"/>
      <c r="T216" s="7"/>
    </row>
    <row r="217" spans="1:22" s="8" customFormat="1" ht="15" customHeight="1">
      <c r="A217" s="23"/>
      <c r="B217" s="20"/>
      <c r="C217" s="32"/>
      <c r="D217" s="102"/>
      <c r="E217" s="33"/>
      <c r="F217" s="33"/>
      <c r="G217" s="489"/>
      <c r="H217" s="487"/>
      <c r="I217" s="112" t="s">
        <v>111</v>
      </c>
      <c r="J217" s="134">
        <v>40000</v>
      </c>
      <c r="K217" s="132" t="s">
        <v>24</v>
      </c>
      <c r="L217" s="132">
        <v>12</v>
      </c>
      <c r="M217" s="144" t="s">
        <v>34</v>
      </c>
      <c r="N217" s="132"/>
      <c r="O217" s="132"/>
      <c r="P217" s="132"/>
      <c r="Q217" s="132" t="s">
        <v>22</v>
      </c>
      <c r="R217" s="133">
        <f t="shared" si="9"/>
        <v>480000</v>
      </c>
      <c r="S217" s="37"/>
      <c r="T217" s="7"/>
    </row>
    <row r="218" spans="1:22" s="8" customFormat="1" ht="15" customHeight="1">
      <c r="A218" s="23"/>
      <c r="B218" s="20"/>
      <c r="C218" s="32"/>
      <c r="D218" s="102"/>
      <c r="E218" s="33"/>
      <c r="F218" s="33"/>
      <c r="G218" s="489"/>
      <c r="H218" s="487"/>
      <c r="I218" s="20"/>
      <c r="J218" s="79">
        <v>30000</v>
      </c>
      <c r="K218" s="20" t="s">
        <v>15</v>
      </c>
      <c r="L218" s="20">
        <v>12</v>
      </c>
      <c r="M218" s="20" t="s">
        <v>17</v>
      </c>
      <c r="N218" s="20"/>
      <c r="O218" s="20"/>
      <c r="P218" s="20"/>
      <c r="Q218" s="20" t="s">
        <v>18</v>
      </c>
      <c r="R218" s="64">
        <f t="shared" si="9"/>
        <v>360000</v>
      </c>
      <c r="S218" s="37"/>
      <c r="T218" s="7"/>
    </row>
    <row r="219" spans="1:22" s="8" customFormat="1" ht="15" customHeight="1">
      <c r="A219" s="23"/>
      <c r="B219" s="20"/>
      <c r="C219" s="32"/>
      <c r="D219" s="145"/>
      <c r="E219" s="33"/>
      <c r="F219" s="33"/>
      <c r="G219" s="489"/>
      <c r="H219" s="487"/>
      <c r="I219" s="20"/>
      <c r="J219" s="21"/>
      <c r="K219" s="20"/>
      <c r="L219" s="20"/>
      <c r="M219" s="20"/>
      <c r="N219" s="20"/>
      <c r="O219" s="20"/>
      <c r="P219" s="20"/>
      <c r="Q219" s="20"/>
      <c r="R219" s="29"/>
      <c r="S219" s="37"/>
      <c r="T219" s="7"/>
    </row>
    <row r="220" spans="1:22" s="8" customFormat="1" ht="15" customHeight="1">
      <c r="A220" s="23"/>
      <c r="B220" s="20"/>
      <c r="C220" s="32"/>
      <c r="D220" s="145"/>
      <c r="E220" s="33"/>
      <c r="F220" s="33"/>
      <c r="G220" s="489"/>
      <c r="H220" s="487"/>
      <c r="I220" s="20"/>
      <c r="J220" s="21"/>
      <c r="K220" s="20"/>
      <c r="L220" s="20"/>
      <c r="M220" s="20"/>
      <c r="N220" s="20"/>
      <c r="O220" s="20"/>
      <c r="P220" s="20"/>
      <c r="Q220" s="20" t="s">
        <v>23</v>
      </c>
      <c r="R220" s="29">
        <f>SUM(R211:R219)</f>
        <v>76104000</v>
      </c>
      <c r="S220" s="37">
        <f>SUM(R211,R213,R215,R217)</f>
        <v>58080000</v>
      </c>
      <c r="T220" s="7">
        <f>R220-S220</f>
        <v>18024000</v>
      </c>
    </row>
    <row r="221" spans="1:22" s="8" customFormat="1" ht="15" customHeight="1">
      <c r="A221" s="23"/>
      <c r="B221" s="22"/>
      <c r="C221" s="495"/>
      <c r="D221" s="146"/>
      <c r="E221" s="140"/>
      <c r="F221" s="140"/>
      <c r="G221" s="534"/>
      <c r="H221" s="488"/>
      <c r="I221" s="18"/>
      <c r="J221" s="17"/>
      <c r="K221" s="18"/>
      <c r="L221" s="18"/>
      <c r="M221" s="18"/>
      <c r="N221" s="18"/>
      <c r="O221" s="18"/>
      <c r="P221" s="18"/>
      <c r="Q221" s="18"/>
      <c r="R221" s="25"/>
      <c r="S221" s="37"/>
      <c r="T221" s="7"/>
    </row>
    <row r="222" spans="1:22" s="8" customFormat="1" ht="15" customHeight="1">
      <c r="A222" s="23"/>
      <c r="B222" s="22"/>
      <c r="C222" s="895" t="s">
        <v>112</v>
      </c>
      <c r="D222" s="95"/>
      <c r="E222" s="501">
        <v>9410</v>
      </c>
      <c r="F222" s="501">
        <f>S236/1000</f>
        <v>9400</v>
      </c>
      <c r="G222" s="933">
        <f>F222+F223-E222-E223</f>
        <v>-52.880000000001019</v>
      </c>
      <c r="H222" s="910">
        <f>G222/(E222+E223)</f>
        <v>-3.3193145439709385E-3</v>
      </c>
      <c r="I222" s="147" t="s">
        <v>113</v>
      </c>
      <c r="J222" s="134">
        <v>365000</v>
      </c>
      <c r="K222" s="132" t="s">
        <v>20</v>
      </c>
      <c r="L222" s="132">
        <v>12</v>
      </c>
      <c r="M222" s="132" t="s">
        <v>19</v>
      </c>
      <c r="N222" s="132"/>
      <c r="O222" s="132"/>
      <c r="P222" s="132"/>
      <c r="Q222" s="132" t="s">
        <v>114</v>
      </c>
      <c r="R222" s="135">
        <f>J222*L222</f>
        <v>4380000</v>
      </c>
      <c r="S222" s="37"/>
      <c r="T222" s="7"/>
    </row>
    <row r="223" spans="1:22" s="8" customFormat="1" ht="15" customHeight="1">
      <c r="A223" s="23"/>
      <c r="B223" s="22"/>
      <c r="C223" s="901"/>
      <c r="D223" s="34"/>
      <c r="E223" s="508">
        <v>6521</v>
      </c>
      <c r="F223" s="58">
        <f>T236/1000</f>
        <v>6478.12</v>
      </c>
      <c r="G223" s="935"/>
      <c r="H223" s="911"/>
      <c r="I223" s="436" t="s">
        <v>115</v>
      </c>
      <c r="J223" s="137">
        <v>100000</v>
      </c>
      <c r="K223" s="126" t="s">
        <v>20</v>
      </c>
      <c r="L223" s="126">
        <v>12</v>
      </c>
      <c r="M223" s="126" t="s">
        <v>19</v>
      </c>
      <c r="N223" s="126"/>
      <c r="O223" s="126"/>
      <c r="P223" s="126"/>
      <c r="Q223" s="126" t="s">
        <v>22</v>
      </c>
      <c r="R223" s="305">
        <f>J223*L223</f>
        <v>1200000</v>
      </c>
      <c r="S223" s="37"/>
      <c r="T223" s="7"/>
    </row>
    <row r="224" spans="1:22" s="8" customFormat="1" ht="15" customHeight="1">
      <c r="A224" s="23"/>
      <c r="B224" s="20"/>
      <c r="C224" s="32"/>
      <c r="D224" s="102"/>
      <c r="E224" s="33"/>
      <c r="F224" s="33"/>
      <c r="G224" s="489"/>
      <c r="H224" s="487"/>
      <c r="I224" s="147" t="s">
        <v>116</v>
      </c>
      <c r="J224" s="134">
        <v>200000</v>
      </c>
      <c r="K224" s="132" t="s">
        <v>20</v>
      </c>
      <c r="L224" s="132">
        <v>2</v>
      </c>
      <c r="M224" s="132" t="s">
        <v>117</v>
      </c>
      <c r="N224" s="132"/>
      <c r="O224" s="132"/>
      <c r="P224" s="132"/>
      <c r="Q224" s="148" t="s">
        <v>22</v>
      </c>
      <c r="R224" s="135">
        <v>400000</v>
      </c>
      <c r="S224" s="37"/>
      <c r="T224" s="7"/>
    </row>
    <row r="225" spans="1:24" s="8" customFormat="1" ht="15" hidden="1" customHeight="1">
      <c r="A225" s="23"/>
      <c r="B225" s="20"/>
      <c r="C225" s="32"/>
      <c r="D225" s="102"/>
      <c r="E225" s="33"/>
      <c r="F225" s="33"/>
      <c r="G225" s="489"/>
      <c r="H225" s="487"/>
      <c r="I225" s="149" t="s">
        <v>118</v>
      </c>
      <c r="J225" s="79">
        <v>150000</v>
      </c>
      <c r="K225" s="20" t="s">
        <v>20</v>
      </c>
      <c r="L225" s="20">
        <v>0</v>
      </c>
      <c r="M225" s="20" t="s">
        <v>25</v>
      </c>
      <c r="N225" s="20"/>
      <c r="O225" s="20"/>
      <c r="P225" s="20"/>
      <c r="Q225" s="150" t="s">
        <v>22</v>
      </c>
      <c r="R225" s="98">
        <f>J225*L225</f>
        <v>0</v>
      </c>
      <c r="S225" s="37"/>
      <c r="T225" s="7"/>
    </row>
    <row r="226" spans="1:24" s="8" customFormat="1" ht="15" hidden="1" customHeight="1">
      <c r="A226" s="23"/>
      <c r="B226" s="20"/>
      <c r="C226" s="32"/>
      <c r="D226" s="102"/>
      <c r="E226" s="33"/>
      <c r="F226" s="33"/>
      <c r="G226" s="489"/>
      <c r="H226" s="487"/>
      <c r="I226" s="20" t="s">
        <v>119</v>
      </c>
      <c r="J226" s="79">
        <v>100000</v>
      </c>
      <c r="K226" s="20" t="s">
        <v>20</v>
      </c>
      <c r="L226" s="20">
        <v>5</v>
      </c>
      <c r="M226" s="20" t="s">
        <v>120</v>
      </c>
      <c r="N226" s="20" t="s">
        <v>20</v>
      </c>
      <c r="O226" s="20">
        <v>0</v>
      </c>
      <c r="P226" s="20" t="s">
        <v>25</v>
      </c>
      <c r="Q226" s="20" t="s">
        <v>22</v>
      </c>
      <c r="R226" s="98">
        <f>J226*L226*O226</f>
        <v>0</v>
      </c>
      <c r="S226" s="37"/>
      <c r="T226" s="7"/>
    </row>
    <row r="227" spans="1:24" s="8" customFormat="1" ht="15" customHeight="1">
      <c r="A227" s="23"/>
      <c r="B227" s="22"/>
      <c r="C227" s="32"/>
      <c r="D227" s="102"/>
      <c r="E227" s="33"/>
      <c r="F227" s="33"/>
      <c r="G227" s="489"/>
      <c r="H227" s="487"/>
      <c r="I227" s="112" t="s">
        <v>121</v>
      </c>
      <c r="J227" s="134">
        <v>70000</v>
      </c>
      <c r="K227" s="132" t="s">
        <v>20</v>
      </c>
      <c r="L227" s="132">
        <v>6</v>
      </c>
      <c r="M227" s="112" t="s">
        <v>120</v>
      </c>
      <c r="N227" s="132"/>
      <c r="O227" s="132"/>
      <c r="P227" s="132"/>
      <c r="Q227" s="132" t="s">
        <v>22</v>
      </c>
      <c r="R227" s="135">
        <f t="shared" ref="R227:R234" si="10">J227*L227</f>
        <v>420000</v>
      </c>
      <c r="S227" s="37"/>
      <c r="T227" s="7"/>
      <c r="U227" s="109"/>
      <c r="V227" s="109"/>
      <c r="W227" s="109"/>
      <c r="X227" s="109"/>
    </row>
    <row r="228" spans="1:24" s="8" customFormat="1" ht="15" customHeight="1">
      <c r="A228" s="23"/>
      <c r="B228" s="20"/>
      <c r="C228" s="32"/>
      <c r="D228" s="102"/>
      <c r="E228" s="33"/>
      <c r="F228" s="33"/>
      <c r="G228" s="489"/>
      <c r="H228" s="487"/>
      <c r="I228" s="20"/>
      <c r="J228" s="79">
        <v>73640</v>
      </c>
      <c r="K228" s="20" t="s">
        <v>20</v>
      </c>
      <c r="L228" s="20">
        <v>2</v>
      </c>
      <c r="M228" s="20" t="s">
        <v>120</v>
      </c>
      <c r="N228" s="20"/>
      <c r="O228" s="20"/>
      <c r="P228" s="20"/>
      <c r="Q228" s="150" t="s">
        <v>22</v>
      </c>
      <c r="R228" s="98">
        <f t="shared" si="10"/>
        <v>147280</v>
      </c>
      <c r="S228" s="37"/>
      <c r="T228" s="7"/>
      <c r="U228" s="109"/>
      <c r="V228" s="109"/>
      <c r="W228" s="109"/>
      <c r="X228" s="109"/>
    </row>
    <row r="229" spans="1:24" s="8" customFormat="1" ht="15" customHeight="1">
      <c r="A229" s="23"/>
      <c r="B229" s="20"/>
      <c r="C229" s="32"/>
      <c r="D229" s="102"/>
      <c r="E229" s="33"/>
      <c r="F229" s="33"/>
      <c r="G229" s="489"/>
      <c r="H229" s="487"/>
      <c r="I229" s="112" t="s">
        <v>122</v>
      </c>
      <c r="J229" s="134">
        <v>700000</v>
      </c>
      <c r="K229" s="112" t="s">
        <v>20</v>
      </c>
      <c r="L229" s="112">
        <v>6</v>
      </c>
      <c r="M229" s="112" t="s">
        <v>120</v>
      </c>
      <c r="N229" s="112" t="s">
        <v>20</v>
      </c>
      <c r="O229" s="112">
        <v>1</v>
      </c>
      <c r="P229" s="112" t="s">
        <v>25</v>
      </c>
      <c r="Q229" s="112" t="s">
        <v>22</v>
      </c>
      <c r="R229" s="135">
        <f t="shared" si="10"/>
        <v>4200000</v>
      </c>
      <c r="S229" s="37"/>
      <c r="T229" s="7"/>
      <c r="U229" s="109"/>
      <c r="V229" s="109"/>
      <c r="W229" s="109"/>
      <c r="X229" s="109"/>
    </row>
    <row r="230" spans="1:24" s="8" customFormat="1" ht="15" customHeight="1">
      <c r="A230" s="23"/>
      <c r="B230" s="20"/>
      <c r="C230" s="32"/>
      <c r="D230" s="102"/>
      <c r="E230" s="33"/>
      <c r="F230" s="33"/>
      <c r="G230" s="489"/>
      <c r="H230" s="487"/>
      <c r="I230" s="20"/>
      <c r="J230" s="79">
        <v>1600000</v>
      </c>
      <c r="K230" s="20" t="s">
        <v>20</v>
      </c>
      <c r="L230" s="20">
        <v>2</v>
      </c>
      <c r="M230" s="20" t="s">
        <v>120</v>
      </c>
      <c r="N230" s="20"/>
      <c r="O230" s="20"/>
      <c r="P230" s="20"/>
      <c r="Q230" s="150" t="s">
        <v>22</v>
      </c>
      <c r="R230" s="98">
        <f>J230*L230</f>
        <v>3200000</v>
      </c>
      <c r="S230" s="37"/>
      <c r="T230" s="7"/>
      <c r="U230" s="109"/>
      <c r="V230" s="109"/>
      <c r="W230" s="109"/>
      <c r="X230" s="109"/>
    </row>
    <row r="231" spans="1:24" s="8" customFormat="1" ht="15" hidden="1" customHeight="1">
      <c r="A231" s="23"/>
      <c r="B231" s="20"/>
      <c r="C231" s="32"/>
      <c r="D231" s="31"/>
      <c r="E231" s="33"/>
      <c r="F231" s="33"/>
      <c r="G231" s="39"/>
      <c r="H231" s="487"/>
      <c r="I231" s="20" t="s">
        <v>123</v>
      </c>
      <c r="J231" s="79">
        <v>600000</v>
      </c>
      <c r="K231" s="20" t="s">
        <v>20</v>
      </c>
      <c r="L231" s="20">
        <v>0</v>
      </c>
      <c r="M231" s="20" t="s">
        <v>25</v>
      </c>
      <c r="N231" s="20"/>
      <c r="O231" s="20"/>
      <c r="P231" s="20"/>
      <c r="Q231" s="150" t="s">
        <v>22</v>
      </c>
      <c r="R231" s="98">
        <f t="shared" si="10"/>
        <v>0</v>
      </c>
      <c r="S231" s="37"/>
      <c r="T231" s="7"/>
      <c r="U231" s="109"/>
      <c r="V231" s="109"/>
      <c r="W231" s="109"/>
      <c r="X231" s="109"/>
    </row>
    <row r="232" spans="1:24" s="8" customFormat="1" ht="15" customHeight="1">
      <c r="A232" s="23"/>
      <c r="B232" s="20"/>
      <c r="C232" s="32"/>
      <c r="D232" s="31"/>
      <c r="E232" s="33"/>
      <c r="F232" s="33"/>
      <c r="G232" s="39"/>
      <c r="H232" s="487"/>
      <c r="I232" s="20" t="s">
        <v>124</v>
      </c>
      <c r="J232" s="63">
        <v>750000</v>
      </c>
      <c r="K232" s="20" t="s">
        <v>20</v>
      </c>
      <c r="L232" s="20">
        <v>2</v>
      </c>
      <c r="M232" s="20" t="s">
        <v>25</v>
      </c>
      <c r="N232" s="20"/>
      <c r="O232" s="20"/>
      <c r="P232" s="20"/>
      <c r="Q232" s="150" t="s">
        <v>22</v>
      </c>
      <c r="R232" s="98">
        <f t="shared" si="10"/>
        <v>1500000</v>
      </c>
      <c r="S232" s="37"/>
      <c r="T232" s="7"/>
      <c r="U232" s="109"/>
      <c r="V232" s="109"/>
      <c r="W232" s="109"/>
      <c r="X232" s="109"/>
    </row>
    <row r="233" spans="1:24" s="8" customFormat="1" ht="15" customHeight="1">
      <c r="A233" s="23"/>
      <c r="B233" s="22"/>
      <c r="C233" s="32"/>
      <c r="D233" s="102"/>
      <c r="E233" s="33"/>
      <c r="F233" s="33"/>
      <c r="G233" s="489"/>
      <c r="H233" s="487"/>
      <c r="I233" s="20" t="s">
        <v>123</v>
      </c>
      <c r="J233" s="79">
        <v>80000</v>
      </c>
      <c r="K233" s="20" t="s">
        <v>20</v>
      </c>
      <c r="L233" s="20">
        <v>1</v>
      </c>
      <c r="M233" s="20" t="s">
        <v>25</v>
      </c>
      <c r="N233" s="20"/>
      <c r="O233" s="20"/>
      <c r="P233" s="20"/>
      <c r="Q233" s="20" t="s">
        <v>22</v>
      </c>
      <c r="R233" s="98">
        <f t="shared" si="10"/>
        <v>80000</v>
      </c>
      <c r="S233" s="37"/>
      <c r="T233" s="7"/>
      <c r="U233" s="109"/>
      <c r="V233" s="109"/>
      <c r="W233" s="109"/>
      <c r="X233" s="109"/>
    </row>
    <row r="234" spans="1:24" s="8" customFormat="1" ht="15" customHeight="1">
      <c r="A234" s="23"/>
      <c r="B234" s="22"/>
      <c r="C234" s="32"/>
      <c r="D234" s="102"/>
      <c r="E234" s="33"/>
      <c r="F234" s="33"/>
      <c r="G234" s="489"/>
      <c r="H234" s="487"/>
      <c r="I234" s="20" t="s">
        <v>125</v>
      </c>
      <c r="J234" s="79">
        <v>350840</v>
      </c>
      <c r="K234" s="126" t="s">
        <v>20</v>
      </c>
      <c r="L234" s="126">
        <v>1</v>
      </c>
      <c r="M234" s="127" t="s">
        <v>25</v>
      </c>
      <c r="N234" s="126"/>
      <c r="O234" s="126"/>
      <c r="P234" s="126"/>
      <c r="Q234" s="150" t="s">
        <v>22</v>
      </c>
      <c r="R234" s="98">
        <f t="shared" si="10"/>
        <v>350840</v>
      </c>
      <c r="S234" s="37"/>
      <c r="T234" s="7"/>
    </row>
    <row r="235" spans="1:24" s="8" customFormat="1" ht="15" customHeight="1">
      <c r="A235" s="23"/>
      <c r="B235" s="22"/>
      <c r="C235" s="32"/>
      <c r="D235" s="102"/>
      <c r="E235" s="33"/>
      <c r="F235" s="33"/>
      <c r="G235" s="489"/>
      <c r="H235" s="487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37"/>
      <c r="T235" s="7"/>
    </row>
    <row r="236" spans="1:24" s="8" customFormat="1" ht="15" customHeight="1">
      <c r="A236" s="23"/>
      <c r="B236" s="22"/>
      <c r="C236" s="495"/>
      <c r="D236" s="139"/>
      <c r="E236" s="140"/>
      <c r="F236" s="140"/>
      <c r="G236" s="534"/>
      <c r="H236" s="488"/>
      <c r="I236" s="18"/>
      <c r="J236" s="17"/>
      <c r="K236" s="18"/>
      <c r="L236" s="18"/>
      <c r="M236" s="18"/>
      <c r="N236" s="18"/>
      <c r="O236" s="18"/>
      <c r="P236" s="18"/>
      <c r="Q236" s="18" t="s">
        <v>126</v>
      </c>
      <c r="R236" s="110">
        <f>SUM(R222:R234)</f>
        <v>15878120</v>
      </c>
      <c r="S236" s="37">
        <f>R222+R224+R227+R229</f>
        <v>9400000</v>
      </c>
      <c r="T236" s="7">
        <f>R236-S236</f>
        <v>6478120</v>
      </c>
    </row>
    <row r="237" spans="1:24" s="8" customFormat="1" ht="15" customHeight="1">
      <c r="A237" s="23"/>
      <c r="B237" s="22"/>
      <c r="C237" s="895" t="s">
        <v>127</v>
      </c>
      <c r="D237" s="486"/>
      <c r="E237" s="923">
        <v>5908</v>
      </c>
      <c r="F237" s="923">
        <f>S242/1000</f>
        <v>5400</v>
      </c>
      <c r="G237" s="933">
        <f>F237+F241-E237-E241</f>
        <v>-1</v>
      </c>
      <c r="H237" s="910">
        <f>G237/(E237+E241)</f>
        <v>-7.9358781049123091E-5</v>
      </c>
      <c r="I237" s="151" t="s">
        <v>128</v>
      </c>
      <c r="J237" s="119">
        <v>350000</v>
      </c>
      <c r="K237" s="118" t="s">
        <v>24</v>
      </c>
      <c r="L237" s="118">
        <v>12</v>
      </c>
      <c r="M237" s="118" t="s">
        <v>34</v>
      </c>
      <c r="N237" s="118"/>
      <c r="O237" s="118"/>
      <c r="P237" s="118"/>
      <c r="Q237" s="118" t="s">
        <v>22</v>
      </c>
      <c r="R237" s="133">
        <f>J237*L237</f>
        <v>4200000</v>
      </c>
      <c r="S237" s="37"/>
      <c r="T237" s="7"/>
    </row>
    <row r="238" spans="1:24" s="8" customFormat="1" ht="15" customHeight="1">
      <c r="A238" s="23"/>
      <c r="B238" s="22"/>
      <c r="C238" s="901"/>
      <c r="D238" s="487"/>
      <c r="E238" s="917"/>
      <c r="F238" s="917"/>
      <c r="G238" s="935"/>
      <c r="H238" s="911"/>
      <c r="I238" s="20"/>
      <c r="J238" s="79">
        <v>300000</v>
      </c>
      <c r="K238" s="126" t="s">
        <v>24</v>
      </c>
      <c r="L238" s="126">
        <v>12</v>
      </c>
      <c r="M238" s="127" t="s">
        <v>34</v>
      </c>
      <c r="N238" s="126"/>
      <c r="O238" s="126"/>
      <c r="P238" s="126"/>
      <c r="Q238" s="150" t="s">
        <v>22</v>
      </c>
      <c r="R238" s="98">
        <f>J238*L238</f>
        <v>3600000</v>
      </c>
      <c r="S238" s="37"/>
      <c r="T238" s="7"/>
    </row>
    <row r="239" spans="1:24" s="8" customFormat="1" ht="15" customHeight="1">
      <c r="A239" s="23"/>
      <c r="B239" s="22"/>
      <c r="C239" s="901"/>
      <c r="D239" s="487"/>
      <c r="E239" s="917"/>
      <c r="F239" s="917"/>
      <c r="G239" s="935"/>
      <c r="H239" s="911"/>
      <c r="I239" s="112" t="s">
        <v>129</v>
      </c>
      <c r="J239" s="134">
        <v>100000</v>
      </c>
      <c r="K239" s="112" t="s">
        <v>24</v>
      </c>
      <c r="L239" s="112">
        <v>12</v>
      </c>
      <c r="M239" s="112" t="s">
        <v>34</v>
      </c>
      <c r="N239" s="112"/>
      <c r="O239" s="112"/>
      <c r="P239" s="112"/>
      <c r="Q239" s="112" t="s">
        <v>22</v>
      </c>
      <c r="R239" s="133">
        <f>J239*L239</f>
        <v>1200000</v>
      </c>
      <c r="S239" s="37"/>
      <c r="T239" s="7"/>
    </row>
    <row r="240" spans="1:24" s="8" customFormat="1" ht="15" customHeight="1">
      <c r="A240" s="23"/>
      <c r="B240" s="22"/>
      <c r="C240" s="901"/>
      <c r="D240" s="487"/>
      <c r="E240" s="918"/>
      <c r="F240" s="918"/>
      <c r="G240" s="935"/>
      <c r="H240" s="911"/>
      <c r="I240" s="20"/>
      <c r="J240" s="79">
        <v>300000</v>
      </c>
      <c r="K240" s="126" t="s">
        <v>24</v>
      </c>
      <c r="L240" s="126">
        <v>12</v>
      </c>
      <c r="M240" s="127" t="s">
        <v>34</v>
      </c>
      <c r="N240" s="126"/>
      <c r="O240" s="126"/>
      <c r="P240" s="126"/>
      <c r="Q240" s="150" t="s">
        <v>22</v>
      </c>
      <c r="R240" s="98">
        <f>J240*L240</f>
        <v>3600000</v>
      </c>
      <c r="S240" s="37"/>
      <c r="T240" s="7"/>
    </row>
    <row r="241" spans="1:20" s="8" customFormat="1" ht="15" customHeight="1">
      <c r="A241" s="23"/>
      <c r="B241" s="22"/>
      <c r="C241" s="901"/>
      <c r="D241" s="487"/>
      <c r="E241" s="925">
        <v>6693</v>
      </c>
      <c r="F241" s="925">
        <f>T242/1000</f>
        <v>7200</v>
      </c>
      <c r="G241" s="935"/>
      <c r="H241" s="911"/>
      <c r="I241" s="20"/>
      <c r="J241" s="79"/>
      <c r="K241" s="20"/>
      <c r="L241" s="20"/>
      <c r="M241" s="20"/>
      <c r="N241" s="20"/>
      <c r="O241" s="20"/>
      <c r="P241" s="20"/>
      <c r="Q241" s="20"/>
      <c r="R241" s="68"/>
      <c r="S241" s="37"/>
      <c r="T241" s="7"/>
    </row>
    <row r="242" spans="1:20" s="8" customFormat="1" ht="15" customHeight="1">
      <c r="A242" s="23"/>
      <c r="B242" s="22"/>
      <c r="C242" s="887"/>
      <c r="D242" s="488"/>
      <c r="E242" s="932"/>
      <c r="F242" s="932"/>
      <c r="G242" s="934"/>
      <c r="H242" s="915"/>
      <c r="I242" s="16"/>
      <c r="J242" s="17"/>
      <c r="K242" s="18"/>
      <c r="L242" s="18"/>
      <c r="M242" s="18"/>
      <c r="N242" s="18"/>
      <c r="O242" s="18"/>
      <c r="P242" s="18"/>
      <c r="Q242" s="18" t="s">
        <v>23</v>
      </c>
      <c r="R242" s="25">
        <f>SUM(R237:R241)</f>
        <v>12600000</v>
      </c>
      <c r="S242" s="37">
        <f>R237+R239</f>
        <v>5400000</v>
      </c>
      <c r="T242" s="7">
        <f>R242-S242</f>
        <v>7200000</v>
      </c>
    </row>
    <row r="243" spans="1:20" s="8" customFormat="1" ht="15" customHeight="1">
      <c r="A243" s="23"/>
      <c r="B243" s="22"/>
      <c r="C243" s="895" t="s">
        <v>130</v>
      </c>
      <c r="D243" s="486"/>
      <c r="E243" s="925">
        <v>3040</v>
      </c>
      <c r="F243" s="925">
        <f>S246/1000</f>
        <v>2400</v>
      </c>
      <c r="G243" s="933">
        <f>F243+F245-E243-E245</f>
        <v>-198</v>
      </c>
      <c r="H243" s="910">
        <f>G243/(E243+E245)</f>
        <v>-3.9615846338535411E-2</v>
      </c>
      <c r="I243" s="112" t="s">
        <v>131</v>
      </c>
      <c r="J243" s="113">
        <v>200000</v>
      </c>
      <c r="K243" s="112" t="s">
        <v>24</v>
      </c>
      <c r="L243" s="112">
        <v>12</v>
      </c>
      <c r="M243" s="112" t="s">
        <v>34</v>
      </c>
      <c r="N243" s="112"/>
      <c r="O243" s="112"/>
      <c r="P243" s="112"/>
      <c r="Q243" s="112" t="s">
        <v>22</v>
      </c>
      <c r="R243" s="114">
        <f>J243*L243</f>
        <v>2400000</v>
      </c>
      <c r="S243" s="37"/>
      <c r="T243" s="7"/>
    </row>
    <row r="244" spans="1:20" s="8" customFormat="1" ht="15" customHeight="1">
      <c r="A244" s="23"/>
      <c r="B244" s="20"/>
      <c r="C244" s="901"/>
      <c r="D244" s="487"/>
      <c r="E244" s="932"/>
      <c r="F244" s="932"/>
      <c r="G244" s="935"/>
      <c r="H244" s="911"/>
      <c r="I244" s="20"/>
      <c r="J244" s="79">
        <v>200000</v>
      </c>
      <c r="K244" s="126" t="s">
        <v>24</v>
      </c>
      <c r="L244" s="126">
        <v>12</v>
      </c>
      <c r="M244" s="127" t="s">
        <v>34</v>
      </c>
      <c r="N244" s="126"/>
      <c r="O244" s="126"/>
      <c r="P244" s="126"/>
      <c r="Q244" s="150" t="s">
        <v>22</v>
      </c>
      <c r="R244" s="98">
        <f>J244*L244</f>
        <v>2400000</v>
      </c>
      <c r="S244" s="37"/>
      <c r="T244" s="7"/>
    </row>
    <row r="245" spans="1:20" s="8" customFormat="1" ht="15" customHeight="1">
      <c r="A245" s="23"/>
      <c r="B245" s="20"/>
      <c r="C245" s="901"/>
      <c r="D245" s="487"/>
      <c r="E245" s="925">
        <v>1958</v>
      </c>
      <c r="F245" s="925">
        <f>T246/1000</f>
        <v>2400</v>
      </c>
      <c r="G245" s="935"/>
      <c r="H245" s="911"/>
      <c r="I245" s="20"/>
      <c r="J245" s="21"/>
      <c r="K245" s="20"/>
      <c r="L245" s="20"/>
      <c r="M245" s="20"/>
      <c r="N245" s="20"/>
      <c r="O245" s="20"/>
      <c r="P245" s="20"/>
      <c r="Q245" s="20"/>
      <c r="R245" s="29"/>
      <c r="S245" s="37"/>
      <c r="T245" s="7"/>
    </row>
    <row r="246" spans="1:20" s="8" customFormat="1" ht="15" customHeight="1">
      <c r="A246" s="23"/>
      <c r="B246" s="20"/>
      <c r="C246" s="887"/>
      <c r="D246" s="488"/>
      <c r="E246" s="932"/>
      <c r="F246" s="932"/>
      <c r="G246" s="934"/>
      <c r="H246" s="915"/>
      <c r="I246" s="152"/>
      <c r="J246" s="153"/>
      <c r="K246" s="152"/>
      <c r="L246" s="152"/>
      <c r="M246" s="152"/>
      <c r="N246" s="152"/>
      <c r="O246" s="152"/>
      <c r="P246" s="152"/>
      <c r="Q246" s="18" t="s">
        <v>23</v>
      </c>
      <c r="R246" s="25">
        <f>SUM(R243:R245)</f>
        <v>4800000</v>
      </c>
      <c r="S246" s="37">
        <v>2400000</v>
      </c>
      <c r="T246" s="7">
        <f>R246-S246</f>
        <v>2400000</v>
      </c>
    </row>
    <row r="247" spans="1:20" s="8" customFormat="1" ht="15" customHeight="1">
      <c r="A247" s="23"/>
      <c r="B247" s="20"/>
      <c r="C247" s="936" t="s">
        <v>132</v>
      </c>
      <c r="D247" s="487"/>
      <c r="E247" s="925">
        <v>0</v>
      </c>
      <c r="F247" s="925">
        <f>S250/1000</f>
        <v>0</v>
      </c>
      <c r="G247" s="933">
        <f>F247+F249-E247-E249</f>
        <v>-2100</v>
      </c>
      <c r="H247" s="910">
        <f>G247/(E247+E249)</f>
        <v>-0.58333333333333337</v>
      </c>
      <c r="I247" s="106" t="s">
        <v>133</v>
      </c>
      <c r="J247" s="63">
        <v>125000</v>
      </c>
      <c r="K247" s="28" t="s">
        <v>20</v>
      </c>
      <c r="L247" s="28">
        <v>12</v>
      </c>
      <c r="M247" s="28" t="s">
        <v>19</v>
      </c>
      <c r="N247" s="28"/>
      <c r="O247" s="28"/>
      <c r="P247" s="28"/>
      <c r="Q247" s="28" t="s">
        <v>114</v>
      </c>
      <c r="R247" s="154">
        <f>J247*L247</f>
        <v>1500000</v>
      </c>
      <c r="S247" s="37"/>
      <c r="T247" s="7"/>
    </row>
    <row r="248" spans="1:20" s="8" customFormat="1" ht="15" customHeight="1">
      <c r="A248" s="88"/>
      <c r="B248" s="23"/>
      <c r="C248" s="938"/>
      <c r="D248" s="540"/>
      <c r="E248" s="932"/>
      <c r="F248" s="932"/>
      <c r="G248" s="935"/>
      <c r="H248" s="911"/>
      <c r="I248" s="35"/>
      <c r="J248" s="63"/>
      <c r="K248" s="20"/>
      <c r="L248" s="20"/>
      <c r="M248" s="20"/>
      <c r="N248" s="20"/>
      <c r="O248" s="20"/>
      <c r="P248" s="20"/>
      <c r="Q248" s="20"/>
      <c r="R248" s="64"/>
      <c r="S248" s="37"/>
      <c r="T248" s="7"/>
    </row>
    <row r="249" spans="1:20" s="8" customFormat="1" ht="15" customHeight="1">
      <c r="A249" s="88"/>
      <c r="B249" s="23"/>
      <c r="C249" s="938"/>
      <c r="D249" s="540"/>
      <c r="E249" s="925">
        <v>3600</v>
      </c>
      <c r="F249" s="925">
        <f>T250/1000</f>
        <v>1500</v>
      </c>
      <c r="G249" s="935"/>
      <c r="H249" s="911"/>
      <c r="I249" s="35"/>
      <c r="J249" s="21"/>
      <c r="K249" s="20"/>
      <c r="L249" s="20"/>
      <c r="M249" s="20"/>
      <c r="N249" s="20"/>
      <c r="O249" s="20"/>
      <c r="P249" s="20"/>
      <c r="Q249" s="20"/>
      <c r="R249" s="64"/>
      <c r="S249" s="37"/>
      <c r="T249" s="7"/>
    </row>
    <row r="250" spans="1:20" s="8" customFormat="1" ht="15" customHeight="1">
      <c r="A250" s="88"/>
      <c r="B250" s="23"/>
      <c r="C250" s="938"/>
      <c r="D250" s="540"/>
      <c r="E250" s="926"/>
      <c r="F250" s="926"/>
      <c r="G250" s="935"/>
      <c r="H250" s="911"/>
      <c r="I250" s="35"/>
      <c r="J250" s="21"/>
      <c r="K250" s="20"/>
      <c r="L250" s="20"/>
      <c r="M250" s="20"/>
      <c r="N250" s="20"/>
      <c r="O250" s="20"/>
      <c r="P250" s="20"/>
      <c r="Q250" s="20" t="s">
        <v>126</v>
      </c>
      <c r="R250" s="155">
        <f>SUM(R247:R249)</f>
        <v>1500000</v>
      </c>
      <c r="S250" s="37">
        <v>0</v>
      </c>
      <c r="T250" s="7">
        <f>R250-S250</f>
        <v>1500000</v>
      </c>
    </row>
    <row r="251" spans="1:20" s="8" customFormat="1" ht="15" customHeight="1">
      <c r="A251" s="886" t="s">
        <v>134</v>
      </c>
      <c r="B251" s="895" t="s">
        <v>135</v>
      </c>
      <c r="C251" s="936"/>
      <c r="D251" s="538"/>
      <c r="E251" s="503">
        <f>E253+E257+E264</f>
        <v>123869</v>
      </c>
      <c r="F251" s="503">
        <f>F253+F257+F264</f>
        <v>226617</v>
      </c>
      <c r="G251" s="933">
        <f>F251+F252-E251-E252</f>
        <v>92527.6</v>
      </c>
      <c r="H251" s="910">
        <f>G251/(E251+E252)</f>
        <v>0.64973140742509261</v>
      </c>
      <c r="I251" s="106"/>
      <c r="J251" s="107"/>
      <c r="K251" s="28"/>
      <c r="L251" s="28"/>
      <c r="M251" s="28"/>
      <c r="N251" s="28"/>
      <c r="O251" s="28"/>
      <c r="P251" s="28"/>
      <c r="Q251" s="28"/>
      <c r="R251" s="108"/>
      <c r="S251" s="37"/>
      <c r="T251" s="7"/>
    </row>
    <row r="252" spans="1:20" s="8" customFormat="1" ht="15" customHeight="1">
      <c r="A252" s="888"/>
      <c r="B252" s="887"/>
      <c r="C252" s="937"/>
      <c r="D252" s="539"/>
      <c r="E252" s="30">
        <f>E254+E259+E265</f>
        <v>18540</v>
      </c>
      <c r="F252" s="30">
        <f>F254+F259+F265</f>
        <v>8319.6</v>
      </c>
      <c r="G252" s="934"/>
      <c r="H252" s="915"/>
      <c r="I252" s="16"/>
      <c r="J252" s="17"/>
      <c r="K252" s="18"/>
      <c r="L252" s="18"/>
      <c r="M252" s="18"/>
      <c r="N252" s="18"/>
      <c r="O252" s="18"/>
      <c r="P252" s="18"/>
      <c r="Q252" s="18"/>
      <c r="R252" s="92">
        <f>SUM(R256,R263,R269)</f>
        <v>234936600</v>
      </c>
      <c r="S252" s="37">
        <f>SUM(S256,S263,S269)</f>
        <v>226617000</v>
      </c>
      <c r="T252" s="37">
        <f>SUM(T256,T263,T269)</f>
        <v>8319600</v>
      </c>
    </row>
    <row r="253" spans="1:20" s="8" customFormat="1" ht="15" customHeight="1">
      <c r="A253" s="492"/>
      <c r="B253" s="486"/>
      <c r="C253" s="895" t="s">
        <v>135</v>
      </c>
      <c r="D253" s="486"/>
      <c r="E253" s="508">
        <v>66929</v>
      </c>
      <c r="F253" s="508">
        <f>S256/1000</f>
        <v>226617</v>
      </c>
      <c r="G253" s="933">
        <f>F253+F254-E253-E254</f>
        <v>156688</v>
      </c>
      <c r="H253" s="910">
        <f>G253/(E253+E254)</f>
        <v>2.1783703374160632</v>
      </c>
      <c r="I253" s="28" t="s">
        <v>136</v>
      </c>
      <c r="J253" s="156">
        <v>2000000</v>
      </c>
      <c r="K253" s="28" t="s">
        <v>24</v>
      </c>
      <c r="L253" s="28">
        <v>1</v>
      </c>
      <c r="M253" s="28" t="s">
        <v>25</v>
      </c>
      <c r="N253" s="28"/>
      <c r="O253" s="28"/>
      <c r="P253" s="28"/>
      <c r="Q253" s="28" t="s">
        <v>22</v>
      </c>
      <c r="R253" s="154">
        <f>J253*L253</f>
        <v>2000000</v>
      </c>
      <c r="S253" s="7"/>
      <c r="T253" s="7"/>
    </row>
    <row r="254" spans="1:20" s="8" customFormat="1" ht="15" customHeight="1">
      <c r="A254" s="522"/>
      <c r="B254" s="487"/>
      <c r="C254" s="901"/>
      <c r="D254" s="487"/>
      <c r="E254" s="503">
        <v>5000</v>
      </c>
      <c r="F254" s="503">
        <f>T256/1000</f>
        <v>2000</v>
      </c>
      <c r="G254" s="935"/>
      <c r="H254" s="911"/>
      <c r="I254" s="472" t="s">
        <v>1045</v>
      </c>
      <c r="J254" s="207"/>
      <c r="K254" s="112"/>
      <c r="L254" s="177"/>
      <c r="M254" s="177"/>
      <c r="N254" s="177"/>
      <c r="O254" s="177"/>
      <c r="P254" s="177"/>
      <c r="Q254" s="178"/>
      <c r="R254" s="473">
        <v>226617000</v>
      </c>
      <c r="S254" s="7" t="s">
        <v>1084</v>
      </c>
      <c r="T254" s="7"/>
    </row>
    <row r="255" spans="1:20" s="8" customFormat="1" ht="15" customHeight="1">
      <c r="A255" s="522"/>
      <c r="B255" s="487"/>
      <c r="C255" s="487"/>
      <c r="D255" s="34"/>
      <c r="E255" s="44"/>
      <c r="F255" s="44"/>
      <c r="G255" s="506"/>
      <c r="H255" s="491"/>
      <c r="I255" s="20"/>
      <c r="J255" s="137"/>
      <c r="K255" s="20"/>
      <c r="L255" s="20"/>
      <c r="M255" s="20"/>
      <c r="N255" s="20"/>
      <c r="O255" s="20"/>
      <c r="P255" s="20"/>
      <c r="Q255" s="20"/>
      <c r="R255" s="87"/>
      <c r="S255" s="7"/>
      <c r="T255" s="7"/>
    </row>
    <row r="256" spans="1:20" s="8" customFormat="1" ht="15" customHeight="1">
      <c r="A256" s="522"/>
      <c r="B256" s="487"/>
      <c r="C256" s="488"/>
      <c r="D256" s="115"/>
      <c r="E256" s="50"/>
      <c r="F256" s="50"/>
      <c r="G256" s="533"/>
      <c r="H256" s="514"/>
      <c r="I256" s="18"/>
      <c r="J256" s="160"/>
      <c r="K256" s="18"/>
      <c r="L256" s="18"/>
      <c r="M256" s="18"/>
      <c r="N256" s="18"/>
      <c r="O256" s="18"/>
      <c r="P256" s="18"/>
      <c r="Q256" s="18" t="s">
        <v>23</v>
      </c>
      <c r="R256" s="92">
        <f>SUM(R253:R255)</f>
        <v>228617000</v>
      </c>
      <c r="S256" s="7">
        <v>226617000</v>
      </c>
      <c r="T256" s="7">
        <f>R256-S256</f>
        <v>2000000</v>
      </c>
    </row>
    <row r="257" spans="1:20" s="8" customFormat="1" ht="15" customHeight="1">
      <c r="A257" s="23"/>
      <c r="B257" s="23"/>
      <c r="C257" s="901" t="s">
        <v>137</v>
      </c>
      <c r="D257" s="34"/>
      <c r="E257" s="926">
        <v>56940</v>
      </c>
      <c r="F257" s="926">
        <f>S263/1000</f>
        <v>0</v>
      </c>
      <c r="G257" s="935">
        <f>F257+F259-E257-E259</f>
        <v>-62939</v>
      </c>
      <c r="H257" s="911">
        <f>G257/(E257+E259)</f>
        <v>-0.98436009321384443</v>
      </c>
      <c r="I257" s="35" t="s">
        <v>138</v>
      </c>
      <c r="J257" s="79">
        <v>200000</v>
      </c>
      <c r="K257" s="20" t="s">
        <v>24</v>
      </c>
      <c r="L257" s="20">
        <v>5</v>
      </c>
      <c r="M257" s="20" t="s">
        <v>25</v>
      </c>
      <c r="N257" s="20"/>
      <c r="O257" s="20"/>
      <c r="P257" s="20"/>
      <c r="Q257" s="20" t="s">
        <v>22</v>
      </c>
      <c r="R257" s="68">
        <f>J257*L257</f>
        <v>1000000</v>
      </c>
      <c r="S257" s="7"/>
      <c r="T257" s="7"/>
    </row>
    <row r="258" spans="1:20" s="8" customFormat="1" ht="15" customHeight="1">
      <c r="A258" s="23"/>
      <c r="B258" s="23"/>
      <c r="C258" s="901"/>
      <c r="D258" s="34"/>
      <c r="E258" s="932"/>
      <c r="F258" s="932"/>
      <c r="G258" s="935"/>
      <c r="H258" s="911"/>
      <c r="I258" s="20"/>
      <c r="J258" s="161"/>
      <c r="K258" s="162"/>
      <c r="L258" s="162"/>
      <c r="M258" s="162"/>
      <c r="N258" s="162"/>
      <c r="O258" s="162"/>
      <c r="P258" s="162"/>
      <c r="Q258" s="162"/>
      <c r="R258" s="68"/>
      <c r="S258" s="7"/>
      <c r="T258" s="7"/>
    </row>
    <row r="259" spans="1:20" s="8" customFormat="1" ht="15" customHeight="1">
      <c r="A259" s="23"/>
      <c r="B259" s="23"/>
      <c r="C259" s="901"/>
      <c r="D259" s="34"/>
      <c r="E259" s="923">
        <v>6999</v>
      </c>
      <c r="F259" s="923">
        <f>T263/1000</f>
        <v>1000</v>
      </c>
      <c r="G259" s="935"/>
      <c r="H259" s="911"/>
      <c r="I259" s="20"/>
      <c r="J259" s="63"/>
      <c r="K259" s="20"/>
      <c r="L259" s="20"/>
      <c r="M259" s="20"/>
      <c r="N259" s="20"/>
      <c r="O259" s="20"/>
      <c r="P259" s="20"/>
      <c r="Q259" s="20"/>
      <c r="R259" s="68"/>
      <c r="S259" s="7"/>
      <c r="T259" s="7"/>
    </row>
    <row r="260" spans="1:20" s="8" customFormat="1" ht="15" customHeight="1">
      <c r="A260" s="23"/>
      <c r="B260" s="23"/>
      <c r="C260" s="901"/>
      <c r="D260" s="34"/>
      <c r="E260" s="917"/>
      <c r="F260" s="917"/>
      <c r="G260" s="935"/>
      <c r="H260" s="911"/>
      <c r="I260" s="703"/>
      <c r="J260" s="157"/>
      <c r="K260" s="20"/>
      <c r="L260" s="691"/>
      <c r="M260" s="691"/>
      <c r="N260" s="691"/>
      <c r="O260" s="691"/>
      <c r="P260" s="691"/>
      <c r="Q260" s="158"/>
      <c r="R260" s="159"/>
      <c r="S260" s="7"/>
      <c r="T260" s="7"/>
    </row>
    <row r="261" spans="1:20" s="8" customFormat="1" ht="15" customHeight="1">
      <c r="A261" s="23"/>
      <c r="B261" s="23"/>
      <c r="C261" s="901"/>
      <c r="D261" s="34"/>
      <c r="E261" s="917"/>
      <c r="F261" s="917"/>
      <c r="G261" s="935"/>
      <c r="H261" s="911"/>
      <c r="I261" s="562"/>
      <c r="J261" s="157"/>
      <c r="K261" s="20"/>
      <c r="L261" s="560"/>
      <c r="M261" s="560"/>
      <c r="N261" s="560"/>
      <c r="O261" s="560"/>
      <c r="P261" s="560"/>
      <c r="Q261" s="158"/>
      <c r="R261" s="159"/>
      <c r="S261" s="7"/>
      <c r="T261" s="7"/>
    </row>
    <row r="262" spans="1:20" s="8" customFormat="1" ht="15" customHeight="1">
      <c r="A262" s="23"/>
      <c r="B262" s="23"/>
      <c r="C262" s="901"/>
      <c r="D262" s="34"/>
      <c r="E262" s="917"/>
      <c r="F262" s="917"/>
      <c r="G262" s="935"/>
      <c r="H262" s="911"/>
      <c r="I262" s="20"/>
      <c r="J262" s="163"/>
      <c r="K262" s="20"/>
      <c r="L262" s="20"/>
      <c r="M262" s="20"/>
      <c r="N262" s="20"/>
      <c r="O262" s="20"/>
      <c r="P262" s="20"/>
      <c r="Q262" s="20"/>
      <c r="R262" s="29"/>
      <c r="S262" s="7"/>
      <c r="T262" s="7"/>
    </row>
    <row r="263" spans="1:20" s="8" customFormat="1" ht="15" customHeight="1">
      <c r="A263" s="497"/>
      <c r="B263" s="497"/>
      <c r="C263" s="887"/>
      <c r="D263" s="115"/>
      <c r="E263" s="918"/>
      <c r="F263" s="918"/>
      <c r="G263" s="934"/>
      <c r="H263" s="915"/>
      <c r="I263" s="18"/>
      <c r="J263" s="17"/>
      <c r="K263" s="18"/>
      <c r="L263" s="18"/>
      <c r="M263" s="18"/>
      <c r="N263" s="18"/>
      <c r="O263" s="18"/>
      <c r="P263" s="18"/>
      <c r="Q263" s="18" t="s">
        <v>23</v>
      </c>
      <c r="R263" s="25">
        <f>SUM(R257:R262)</f>
        <v>1000000</v>
      </c>
      <c r="S263" s="7">
        <v>0</v>
      </c>
      <c r="T263" s="7">
        <f>R263-S263</f>
        <v>1000000</v>
      </c>
    </row>
    <row r="264" spans="1:20" s="8" customFormat="1" ht="15" customHeight="1">
      <c r="A264" s="23"/>
      <c r="B264" s="20"/>
      <c r="C264" s="924" t="s">
        <v>139</v>
      </c>
      <c r="D264" s="121"/>
      <c r="E264" s="512">
        <v>0</v>
      </c>
      <c r="F264" s="164">
        <f>S269/1000</f>
        <v>0</v>
      </c>
      <c r="G264" s="935">
        <f>F264+F265-E264-E265</f>
        <v>-1221.3999999999996</v>
      </c>
      <c r="H264" s="911">
        <f>G264/(E264+E265)</f>
        <v>-0.18672985781990517</v>
      </c>
      <c r="I264" s="20" t="s">
        <v>140</v>
      </c>
      <c r="J264" s="79">
        <v>75000</v>
      </c>
      <c r="K264" s="21" t="s">
        <v>20</v>
      </c>
      <c r="L264" s="21">
        <v>12</v>
      </c>
      <c r="M264" s="21" t="s">
        <v>19</v>
      </c>
      <c r="N264" s="21"/>
      <c r="O264" s="21"/>
      <c r="P264" s="21"/>
      <c r="Q264" s="21" t="s">
        <v>114</v>
      </c>
      <c r="R264" s="98">
        <f>J264*L264</f>
        <v>900000</v>
      </c>
      <c r="S264" s="7"/>
      <c r="T264" s="7"/>
    </row>
    <row r="265" spans="1:20" s="8" customFormat="1" ht="15" customHeight="1">
      <c r="A265" s="23"/>
      <c r="B265" s="22"/>
      <c r="C265" s="901"/>
      <c r="D265" s="34"/>
      <c r="E265" s="509">
        <v>6541</v>
      </c>
      <c r="F265" s="509">
        <f>T269/1000</f>
        <v>5319.6</v>
      </c>
      <c r="G265" s="935"/>
      <c r="H265" s="911"/>
      <c r="I265" s="20" t="s">
        <v>141</v>
      </c>
      <c r="J265" s="79">
        <v>200000</v>
      </c>
      <c r="K265" s="21" t="s">
        <v>20</v>
      </c>
      <c r="L265" s="21">
        <v>12</v>
      </c>
      <c r="M265" s="21" t="s">
        <v>19</v>
      </c>
      <c r="N265" s="21"/>
      <c r="O265" s="21"/>
      <c r="P265" s="21"/>
      <c r="Q265" s="21" t="s">
        <v>22</v>
      </c>
      <c r="R265" s="98">
        <f>J265*L265</f>
        <v>2400000</v>
      </c>
      <c r="S265" s="7"/>
      <c r="T265" s="7"/>
    </row>
    <row r="266" spans="1:20" s="8" customFormat="1" ht="15" customHeight="1">
      <c r="A266" s="23"/>
      <c r="B266" s="20"/>
      <c r="C266" s="487"/>
      <c r="D266" s="489"/>
      <c r="E266" s="509"/>
      <c r="F266" s="509"/>
      <c r="G266" s="143"/>
      <c r="H266" s="491"/>
      <c r="I266" s="35" t="s">
        <v>742</v>
      </c>
      <c r="J266" s="79">
        <v>168300</v>
      </c>
      <c r="K266" s="20" t="s">
        <v>20</v>
      </c>
      <c r="L266" s="785">
        <v>12</v>
      </c>
      <c r="M266" s="785" t="s">
        <v>19</v>
      </c>
      <c r="N266" s="785"/>
      <c r="O266" s="785"/>
      <c r="P266" s="785"/>
      <c r="Q266" s="158" t="s">
        <v>22</v>
      </c>
      <c r="R266" s="68">
        <f>J266*L266</f>
        <v>2019600</v>
      </c>
      <c r="S266" s="7"/>
      <c r="T266" s="7"/>
    </row>
    <row r="267" spans="1:20" s="8" customFormat="1" ht="15" customHeight="1">
      <c r="A267" s="23"/>
      <c r="B267" s="20"/>
      <c r="C267" s="487"/>
      <c r="D267" s="489"/>
      <c r="E267" s="509"/>
      <c r="F267" s="509"/>
      <c r="G267" s="143"/>
      <c r="H267" s="491"/>
      <c r="I267" s="20"/>
      <c r="J267" s="79"/>
      <c r="K267" s="21"/>
      <c r="L267" s="21"/>
      <c r="M267" s="21"/>
      <c r="N267" s="21"/>
      <c r="O267" s="21"/>
      <c r="P267" s="21"/>
      <c r="Q267" s="21"/>
      <c r="R267" s="98"/>
      <c r="S267" s="7"/>
      <c r="T267" s="7"/>
    </row>
    <row r="268" spans="1:20" s="8" customFormat="1" ht="15" customHeight="1">
      <c r="A268" s="23"/>
      <c r="B268" s="20"/>
      <c r="C268" s="32"/>
      <c r="D268" s="102"/>
      <c r="E268" s="33"/>
      <c r="F268" s="33"/>
      <c r="G268" s="489"/>
      <c r="H268" s="502"/>
      <c r="I268" s="20"/>
      <c r="J268" s="137"/>
      <c r="K268" s="20"/>
      <c r="L268" s="20"/>
      <c r="M268" s="20"/>
      <c r="N268" s="20"/>
      <c r="O268" s="20"/>
      <c r="P268" s="20"/>
      <c r="Q268" s="20"/>
      <c r="R268" s="87"/>
      <c r="S268" s="7"/>
      <c r="T268" s="7"/>
    </row>
    <row r="269" spans="1:20" s="8" customFormat="1" ht="15" customHeight="1">
      <c r="A269" s="497"/>
      <c r="B269" s="18"/>
      <c r="C269" s="495"/>
      <c r="D269" s="139"/>
      <c r="E269" s="140"/>
      <c r="F269" s="140"/>
      <c r="G269" s="534"/>
      <c r="H269" s="520"/>
      <c r="I269" s="18"/>
      <c r="J269" s="17"/>
      <c r="K269" s="18"/>
      <c r="L269" s="18"/>
      <c r="M269" s="18"/>
      <c r="N269" s="18"/>
      <c r="O269" s="18"/>
      <c r="P269" s="18"/>
      <c r="Q269" s="18" t="s">
        <v>126</v>
      </c>
      <c r="R269" s="25">
        <f>SUM(R264:R266)</f>
        <v>5319600</v>
      </c>
      <c r="S269" s="37">
        <v>0</v>
      </c>
      <c r="T269" s="7">
        <f>R269-S269</f>
        <v>5319600</v>
      </c>
    </row>
    <row r="270" spans="1:20" s="169" customFormat="1" ht="18.75" customHeight="1">
      <c r="A270" s="895" t="s">
        <v>142</v>
      </c>
      <c r="B270" s="28"/>
      <c r="C270" s="494"/>
      <c r="D270" s="165"/>
      <c r="E270" s="503">
        <f>E272</f>
        <v>97267</v>
      </c>
      <c r="F270" s="503">
        <f>F272</f>
        <v>100225.25</v>
      </c>
      <c r="G270" s="933">
        <f>F270+F271-E270-E271</f>
        <v>-3358476.8921333333</v>
      </c>
      <c r="H270" s="910">
        <f>G270/(E270+E271)</f>
        <v>-0.73140573340961401</v>
      </c>
      <c r="I270" s="28"/>
      <c r="J270" s="107"/>
      <c r="K270" s="28"/>
      <c r="L270" s="166"/>
      <c r="M270" s="28"/>
      <c r="N270" s="28"/>
      <c r="O270" s="28"/>
      <c r="P270" s="28"/>
      <c r="Q270" s="28"/>
      <c r="R270" s="167"/>
      <c r="S270" s="168"/>
      <c r="T270" s="7"/>
    </row>
    <row r="271" spans="1:20" s="169" customFormat="1" ht="18.75" customHeight="1">
      <c r="A271" s="887"/>
      <c r="B271" s="18"/>
      <c r="C271" s="495"/>
      <c r="D271" s="111"/>
      <c r="E271" s="30">
        <f>E273</f>
        <v>4494544</v>
      </c>
      <c r="F271" s="30">
        <f>F273</f>
        <v>1133108.8578666667</v>
      </c>
      <c r="G271" s="934"/>
      <c r="H271" s="915"/>
      <c r="I271" s="18"/>
      <c r="J271" s="17"/>
      <c r="K271" s="18"/>
      <c r="L271" s="18"/>
      <c r="M271" s="18"/>
      <c r="N271" s="18"/>
      <c r="O271" s="18"/>
      <c r="P271" s="18"/>
      <c r="Q271" s="18"/>
      <c r="R271" s="170"/>
      <c r="S271" s="168">
        <f>SUM(S276,S424,S479,S662,S769,S799,S916,S1013,S1052,S1140,S1157,S1182)</f>
        <v>100225250</v>
      </c>
      <c r="T271" s="168">
        <f>SUM(T276,T424,T479,T662,T769,T799,T916,T1013,T1052,T1140,T1157,T1182)</f>
        <v>1133108857.8666666</v>
      </c>
    </row>
    <row r="272" spans="1:20" s="169" customFormat="1" ht="17.25" customHeight="1">
      <c r="A272" s="487"/>
      <c r="B272" s="895" t="s">
        <v>143</v>
      </c>
      <c r="C272" s="32"/>
      <c r="D272" s="31"/>
      <c r="E272" s="30">
        <f>SUM(E274,E423,E478,E661,E768,E796,E913,E1012,E1138,E1180,E1050,E1155)</f>
        <v>97267</v>
      </c>
      <c r="F272" s="30">
        <f>SUM(F274,F423,F478,F661,F768,F796,F913,F1012,F1138,F1180,F1050,F1155)</f>
        <v>100225.25</v>
      </c>
      <c r="G272" s="933">
        <f>F272+F273-E272-E273</f>
        <v>-3358476.8921333333</v>
      </c>
      <c r="H272" s="910">
        <f>G272/(E273+E272)</f>
        <v>-0.73140573340961401</v>
      </c>
      <c r="I272" s="20"/>
      <c r="J272" s="21"/>
      <c r="K272" s="20"/>
      <c r="L272" s="20"/>
      <c r="M272" s="20"/>
      <c r="N272" s="20"/>
      <c r="O272" s="20"/>
      <c r="P272" s="20"/>
      <c r="Q272" s="20"/>
      <c r="R272" s="171"/>
      <c r="S272" s="172"/>
      <c r="T272" s="7"/>
    </row>
    <row r="273" spans="1:20" s="169" customFormat="1" ht="17.25" customHeight="1">
      <c r="A273" s="487"/>
      <c r="B273" s="901"/>
      <c r="C273" s="32"/>
      <c r="D273" s="31"/>
      <c r="E273" s="504">
        <f>SUM(E276,E424,E479,E662,E769,E798,E915,E1013,E1052,E1140,E1157,E1182)</f>
        <v>4494544</v>
      </c>
      <c r="F273" s="504">
        <f>SUM(F276,F424,F479,F662,F769,F798,F915,F1013,F1052,F1140,F1157,F1182)</f>
        <v>1133108.8578666667</v>
      </c>
      <c r="G273" s="935"/>
      <c r="H273" s="911"/>
      <c r="I273" s="20"/>
      <c r="J273" s="21"/>
      <c r="K273" s="20"/>
      <c r="L273" s="20"/>
      <c r="M273" s="20"/>
      <c r="N273" s="20"/>
      <c r="O273" s="20"/>
      <c r="P273" s="20"/>
      <c r="Q273" s="20"/>
      <c r="R273" s="171"/>
      <c r="S273" s="172"/>
      <c r="T273" s="7"/>
    </row>
    <row r="274" spans="1:20" s="169" customFormat="1" ht="15" customHeight="1">
      <c r="A274" s="23"/>
      <c r="B274" s="173"/>
      <c r="C274" s="939" t="s">
        <v>144</v>
      </c>
      <c r="D274" s="494"/>
      <c r="E274" s="923">
        <f>SUM(E277,E291,E299,E383,E387,E391,E395,E405,E410,E338,E400)</f>
        <v>20233</v>
      </c>
      <c r="F274" s="923">
        <f>SUM(F277,F291,F299,F338,F383,F387,F391,F395,F405,F410)</f>
        <v>7243.6</v>
      </c>
      <c r="G274" s="933">
        <f>F274+F276-E274-E276</f>
        <v>-17834.953000000001</v>
      </c>
      <c r="H274" s="910">
        <f>G274/(E274+E276)</f>
        <v>-0.25849631132690776</v>
      </c>
      <c r="I274" s="28"/>
      <c r="J274" s="107"/>
      <c r="K274" s="28"/>
      <c r="L274" s="28"/>
      <c r="M274" s="28"/>
      <c r="N274" s="28"/>
      <c r="O274" s="28"/>
      <c r="P274" s="28"/>
      <c r="Q274" s="28"/>
      <c r="R274" s="167"/>
      <c r="S274" s="172"/>
      <c r="T274" s="7"/>
    </row>
    <row r="275" spans="1:20" s="169" customFormat="1" ht="15" customHeight="1">
      <c r="A275" s="23"/>
      <c r="B275" s="88"/>
      <c r="C275" s="940"/>
      <c r="D275" s="32"/>
      <c r="E275" s="918"/>
      <c r="F275" s="918"/>
      <c r="G275" s="935"/>
      <c r="H275" s="911"/>
      <c r="I275" s="20"/>
      <c r="J275" s="21"/>
      <c r="K275" s="20"/>
      <c r="L275" s="20"/>
      <c r="M275" s="20"/>
      <c r="N275" s="20"/>
      <c r="O275" s="20"/>
      <c r="P275" s="20"/>
      <c r="Q275" s="20"/>
      <c r="R275" s="171"/>
      <c r="S275" s="172"/>
      <c r="T275" s="7"/>
    </row>
    <row r="276" spans="1:20" s="169" customFormat="1" ht="15" customHeight="1">
      <c r="A276" s="23"/>
      <c r="B276" s="23"/>
      <c r="C276" s="941"/>
      <c r="D276" s="495"/>
      <c r="E276" s="512">
        <f>SUM(E279,E295,E301,E340,E385,E389,E393,E397,E407,E411,E292,E402)</f>
        <v>48762</v>
      </c>
      <c r="F276" s="512">
        <f>SUM(F279,F292,F301,F340,F385,F389,F393,F397,F407,F411)</f>
        <v>43916.447</v>
      </c>
      <c r="G276" s="934"/>
      <c r="H276" s="915"/>
      <c r="I276" s="18"/>
      <c r="J276" s="17"/>
      <c r="K276" s="18"/>
      <c r="L276" s="18"/>
      <c r="M276" s="18"/>
      <c r="N276" s="18"/>
      <c r="O276" s="18"/>
      <c r="P276" s="18"/>
      <c r="Q276" s="18"/>
      <c r="R276" s="170"/>
      <c r="S276" s="172">
        <f>SUM(S289,S298,S337,S382,S386,S422,S409)</f>
        <v>7243600</v>
      </c>
      <c r="T276" s="172">
        <f>SUM(T289:T422)</f>
        <v>43916447</v>
      </c>
    </row>
    <row r="277" spans="1:20" s="169" customFormat="1" ht="15" customHeight="1">
      <c r="A277" s="23"/>
      <c r="B277" s="22"/>
      <c r="C277" s="173"/>
      <c r="D277" s="943" t="s">
        <v>1050</v>
      </c>
      <c r="E277" s="923">
        <v>1340</v>
      </c>
      <c r="F277" s="923">
        <f>S289/1000</f>
        <v>380</v>
      </c>
      <c r="G277" s="933">
        <f>F277+F279-E277-E279</f>
        <v>-955</v>
      </c>
      <c r="H277" s="910">
        <f>G277/(E277+E279)</f>
        <v>-0.62214983713355054</v>
      </c>
      <c r="I277" s="151" t="s">
        <v>715</v>
      </c>
      <c r="J277" s="119"/>
      <c r="K277" s="118"/>
      <c r="L277" s="118"/>
      <c r="M277" s="118"/>
      <c r="N277" s="118"/>
      <c r="O277" s="118"/>
      <c r="P277" s="118"/>
      <c r="Q277" s="118"/>
      <c r="R277" s="174">
        <f>SUM(R278:R280)</f>
        <v>380000</v>
      </c>
      <c r="S277" s="172"/>
      <c r="T277" s="7"/>
    </row>
    <row r="278" spans="1:20" s="169" customFormat="1" ht="15" customHeight="1">
      <c r="A278" s="23"/>
      <c r="B278" s="22"/>
      <c r="C278" s="88"/>
      <c r="D278" s="942"/>
      <c r="E278" s="918"/>
      <c r="F278" s="918"/>
      <c r="G278" s="935"/>
      <c r="H278" s="911"/>
      <c r="I278" s="175" t="s">
        <v>982</v>
      </c>
      <c r="J278" s="176">
        <v>10000</v>
      </c>
      <c r="K278" s="112" t="s">
        <v>20</v>
      </c>
      <c r="L278" s="177">
        <v>2</v>
      </c>
      <c r="M278" s="177" t="s">
        <v>25</v>
      </c>
      <c r="N278" s="177" t="s">
        <v>20</v>
      </c>
      <c r="O278" s="177">
        <v>6</v>
      </c>
      <c r="P278" s="178" t="s">
        <v>21</v>
      </c>
      <c r="Q278" s="112" t="s">
        <v>22</v>
      </c>
      <c r="R278" s="135">
        <f>J278*L278*O278</f>
        <v>120000</v>
      </c>
      <c r="S278" s="172"/>
      <c r="T278" s="7"/>
    </row>
    <row r="279" spans="1:20" s="169" customFormat="1" ht="15" customHeight="1">
      <c r="A279" s="23"/>
      <c r="B279" s="22"/>
      <c r="C279" s="522"/>
      <c r="D279" s="689"/>
      <c r="E279" s="917">
        <v>195</v>
      </c>
      <c r="F279" s="917">
        <f>T289/1000</f>
        <v>200</v>
      </c>
      <c r="G279" s="935"/>
      <c r="H279" s="911"/>
      <c r="I279" s="175" t="s">
        <v>983</v>
      </c>
      <c r="J279" s="176">
        <v>10000</v>
      </c>
      <c r="K279" s="112" t="s">
        <v>20</v>
      </c>
      <c r="L279" s="177">
        <v>2</v>
      </c>
      <c r="M279" s="177" t="s">
        <v>145</v>
      </c>
      <c r="N279" s="177" t="s">
        <v>20</v>
      </c>
      <c r="O279" s="177">
        <v>6</v>
      </c>
      <c r="P279" s="178" t="s">
        <v>21</v>
      </c>
      <c r="Q279" s="112" t="s">
        <v>146</v>
      </c>
      <c r="R279" s="135">
        <f>J279*L279*O279</f>
        <v>120000</v>
      </c>
      <c r="S279" s="172"/>
      <c r="T279" s="7"/>
    </row>
    <row r="280" spans="1:20" s="169" customFormat="1" ht="15" customHeight="1">
      <c r="A280" s="23"/>
      <c r="B280" s="22"/>
      <c r="C280" s="522"/>
      <c r="D280" s="689"/>
      <c r="E280" s="917"/>
      <c r="F280" s="917"/>
      <c r="G280" s="935"/>
      <c r="H280" s="911"/>
      <c r="I280" s="112" t="s">
        <v>984</v>
      </c>
      <c r="J280" s="176">
        <v>10000</v>
      </c>
      <c r="K280" s="112" t="s">
        <v>20</v>
      </c>
      <c r="L280" s="177">
        <v>2</v>
      </c>
      <c r="M280" s="177" t="s">
        <v>145</v>
      </c>
      <c r="N280" s="177" t="s">
        <v>20</v>
      </c>
      <c r="O280" s="177">
        <v>7</v>
      </c>
      <c r="P280" s="178" t="s">
        <v>21</v>
      </c>
      <c r="Q280" s="112" t="s">
        <v>146</v>
      </c>
      <c r="R280" s="135">
        <f>J280*L280*O280</f>
        <v>140000</v>
      </c>
      <c r="S280" s="168"/>
      <c r="T280" s="7"/>
    </row>
    <row r="281" spans="1:20" s="169" customFormat="1" ht="15" customHeight="1">
      <c r="A281" s="23"/>
      <c r="B281" s="20"/>
      <c r="C281" s="32"/>
      <c r="D281" s="145"/>
      <c r="E281" s="104"/>
      <c r="F281" s="104"/>
      <c r="G281" s="489"/>
      <c r="H281" s="487"/>
      <c r="I281" s="35" t="s">
        <v>147</v>
      </c>
      <c r="J281" s="157"/>
      <c r="K281" s="21"/>
      <c r="L281" s="500"/>
      <c r="M281" s="500"/>
      <c r="N281" s="500"/>
      <c r="O281" s="500"/>
      <c r="P281" s="172"/>
      <c r="Q281" s="21"/>
      <c r="R281" s="179">
        <f>SUM(R282:R286)</f>
        <v>160000</v>
      </c>
      <c r="S281" s="168"/>
      <c r="T281" s="7"/>
    </row>
    <row r="282" spans="1:20" s="169" customFormat="1" ht="15" customHeight="1">
      <c r="A282" s="23"/>
      <c r="B282" s="20"/>
      <c r="C282" s="32"/>
      <c r="D282" s="145"/>
      <c r="E282" s="104"/>
      <c r="F282" s="104"/>
      <c r="G282" s="489"/>
      <c r="H282" s="487"/>
      <c r="I282" s="35" t="s">
        <v>985</v>
      </c>
      <c r="J282" s="180">
        <v>5000</v>
      </c>
      <c r="K282" s="181" t="s">
        <v>20</v>
      </c>
      <c r="L282" s="182">
        <v>1</v>
      </c>
      <c r="M282" s="182" t="s">
        <v>21</v>
      </c>
      <c r="N282" s="183" t="s">
        <v>20</v>
      </c>
      <c r="O282" s="182">
        <v>2</v>
      </c>
      <c r="P282" s="182" t="s">
        <v>145</v>
      </c>
      <c r="Q282" s="181" t="s">
        <v>146</v>
      </c>
      <c r="R282" s="71">
        <f>J282*L282*O282</f>
        <v>10000</v>
      </c>
      <c r="S282" s="168"/>
      <c r="T282" s="7"/>
    </row>
    <row r="283" spans="1:20" s="169" customFormat="1" ht="15" customHeight="1">
      <c r="A283" s="23"/>
      <c r="B283" s="20"/>
      <c r="C283" s="32"/>
      <c r="D283" s="145"/>
      <c r="E283" s="104"/>
      <c r="F283" s="104"/>
      <c r="G283" s="489"/>
      <c r="H283" s="487"/>
      <c r="I283" s="35" t="s">
        <v>986</v>
      </c>
      <c r="J283" s="180">
        <v>5000</v>
      </c>
      <c r="K283" s="181" t="s">
        <v>20</v>
      </c>
      <c r="L283" s="182">
        <v>4</v>
      </c>
      <c r="M283" s="182" t="s">
        <v>21</v>
      </c>
      <c r="N283" s="183" t="s">
        <v>20</v>
      </c>
      <c r="O283" s="182">
        <v>2</v>
      </c>
      <c r="P283" s="182" t="s">
        <v>145</v>
      </c>
      <c r="Q283" s="181" t="s">
        <v>146</v>
      </c>
      <c r="R283" s="71">
        <f>J283*L283*O283</f>
        <v>40000</v>
      </c>
      <c r="S283" s="168"/>
      <c r="T283" s="7"/>
    </row>
    <row r="284" spans="1:20" s="169" customFormat="1" ht="15" customHeight="1">
      <c r="A284" s="23"/>
      <c r="B284" s="20"/>
      <c r="C284" s="32"/>
      <c r="D284" s="145"/>
      <c r="E284" s="104"/>
      <c r="F284" s="104"/>
      <c r="G284" s="489"/>
      <c r="H284" s="487"/>
      <c r="I284" s="35" t="s">
        <v>987</v>
      </c>
      <c r="J284" s="180">
        <v>5000</v>
      </c>
      <c r="K284" s="181" t="s">
        <v>20</v>
      </c>
      <c r="L284" s="182">
        <v>5</v>
      </c>
      <c r="M284" s="182" t="s">
        <v>21</v>
      </c>
      <c r="N284" s="183" t="s">
        <v>20</v>
      </c>
      <c r="O284" s="182">
        <v>2</v>
      </c>
      <c r="P284" s="182" t="s">
        <v>145</v>
      </c>
      <c r="Q284" s="184" t="s">
        <v>146</v>
      </c>
      <c r="R284" s="71">
        <f>J284*L284*O284</f>
        <v>50000</v>
      </c>
      <c r="S284" s="168"/>
      <c r="T284" s="7"/>
    </row>
    <row r="285" spans="1:20" s="169" customFormat="1" ht="15" customHeight="1">
      <c r="A285" s="23"/>
      <c r="B285" s="20"/>
      <c r="C285" s="32"/>
      <c r="D285" s="145"/>
      <c r="E285" s="104"/>
      <c r="F285" s="104"/>
      <c r="G285" s="489"/>
      <c r="H285" s="487"/>
      <c r="I285" s="35" t="s">
        <v>988</v>
      </c>
      <c r="J285" s="180"/>
      <c r="K285" s="181"/>
      <c r="L285" s="182"/>
      <c r="M285" s="182"/>
      <c r="N285" s="183"/>
      <c r="O285" s="182"/>
      <c r="P285" s="182"/>
      <c r="Q285" s="181"/>
      <c r="R285" s="71"/>
      <c r="S285" s="168"/>
      <c r="T285" s="7"/>
    </row>
    <row r="286" spans="1:20" s="169" customFormat="1" ht="15" customHeight="1">
      <c r="A286" s="23"/>
      <c r="B286" s="20"/>
      <c r="C286" s="32"/>
      <c r="D286" s="145"/>
      <c r="E286" s="104"/>
      <c r="F286" s="104"/>
      <c r="G286" s="489"/>
      <c r="H286" s="487"/>
      <c r="I286" s="35"/>
      <c r="J286" s="180">
        <v>2000</v>
      </c>
      <c r="K286" s="181" t="s">
        <v>20</v>
      </c>
      <c r="L286" s="182">
        <v>15</v>
      </c>
      <c r="M286" s="182" t="s">
        <v>21</v>
      </c>
      <c r="N286" s="183" t="s">
        <v>20</v>
      </c>
      <c r="O286" s="182">
        <v>2</v>
      </c>
      <c r="P286" s="182" t="s">
        <v>145</v>
      </c>
      <c r="Q286" s="181" t="s">
        <v>146</v>
      </c>
      <c r="R286" s="71">
        <f>J286*L286*O286</f>
        <v>60000</v>
      </c>
      <c r="S286" s="168"/>
      <c r="T286" s="7"/>
    </row>
    <row r="287" spans="1:20" s="169" customFormat="1" ht="15" customHeight="1">
      <c r="A287" s="23"/>
      <c r="B287" s="20"/>
      <c r="C287" s="32"/>
      <c r="D287" s="145"/>
      <c r="E287" s="104"/>
      <c r="F287" s="104"/>
      <c r="G287" s="705"/>
      <c r="H287" s="704"/>
      <c r="I287" s="35" t="s">
        <v>1072</v>
      </c>
      <c r="J287" s="180">
        <v>20000</v>
      </c>
      <c r="K287" s="181" t="s">
        <v>20</v>
      </c>
      <c r="L287" s="182">
        <v>2</v>
      </c>
      <c r="M287" s="182" t="s">
        <v>1073</v>
      </c>
      <c r="N287" s="183" t="s">
        <v>20</v>
      </c>
      <c r="O287" s="182">
        <v>1</v>
      </c>
      <c r="P287" s="182" t="s">
        <v>25</v>
      </c>
      <c r="Q287" s="181" t="s">
        <v>22</v>
      </c>
      <c r="R287" s="71">
        <f>J287*L287*O287</f>
        <v>40000</v>
      </c>
      <c r="S287" s="168"/>
      <c r="T287" s="7"/>
    </row>
    <row r="288" spans="1:20" s="169" customFormat="1" ht="15" customHeight="1">
      <c r="A288" s="23"/>
      <c r="B288" s="20"/>
      <c r="C288" s="32"/>
      <c r="D288" s="145"/>
      <c r="E288" s="104"/>
      <c r="F288" s="104"/>
      <c r="G288" s="489"/>
      <c r="H288" s="487"/>
      <c r="I288" s="35"/>
      <c r="J288" s="67"/>
      <c r="K288" s="181"/>
      <c r="L288" s="182"/>
      <c r="M288" s="182"/>
      <c r="N288" s="182"/>
      <c r="O288" s="182"/>
      <c r="P288" s="172"/>
      <c r="Q288" s="181"/>
      <c r="R288" s="98"/>
      <c r="S288" s="168"/>
      <c r="T288" s="7"/>
    </row>
    <row r="289" spans="1:20" s="169" customFormat="1" ht="15" customHeight="1">
      <c r="A289" s="23"/>
      <c r="B289" s="20"/>
      <c r="C289" s="32"/>
      <c r="D289" s="145"/>
      <c r="E289" s="104"/>
      <c r="F289" s="104"/>
      <c r="G289" s="489"/>
      <c r="H289" s="487"/>
      <c r="I289" s="20"/>
      <c r="J289" s="157"/>
      <c r="K289" s="181"/>
      <c r="L289" s="182"/>
      <c r="M289" s="182"/>
      <c r="N289" s="182"/>
      <c r="O289" s="182"/>
      <c r="P289" s="185"/>
      <c r="Q289" s="186" t="s">
        <v>148</v>
      </c>
      <c r="R289" s="104">
        <f>SUM(R277,R281,R287)</f>
        <v>580000</v>
      </c>
      <c r="S289" s="168">
        <f>R277</f>
        <v>380000</v>
      </c>
      <c r="T289" s="7">
        <f>R289-S289</f>
        <v>200000</v>
      </c>
    </row>
    <row r="290" spans="1:20" s="169" customFormat="1" ht="15" customHeight="1">
      <c r="A290" s="497"/>
      <c r="B290" s="18"/>
      <c r="C290" s="495"/>
      <c r="D290" s="146"/>
      <c r="E290" s="187"/>
      <c r="F290" s="187"/>
      <c r="G290" s="534"/>
      <c r="H290" s="488"/>
      <c r="I290" s="188"/>
      <c r="J290" s="189"/>
      <c r="K290" s="190"/>
      <c r="L290" s="190"/>
      <c r="M290" s="191"/>
      <c r="N290" s="191"/>
      <c r="O290" s="191"/>
      <c r="P290" s="190"/>
      <c r="Q290" s="190"/>
      <c r="R290" s="187"/>
      <c r="S290" s="168"/>
      <c r="T290" s="7"/>
    </row>
    <row r="291" spans="1:20" s="169" customFormat="1" ht="15" customHeight="1">
      <c r="A291" s="23"/>
      <c r="B291" s="22"/>
      <c r="C291" s="22"/>
      <c r="D291" s="942" t="s">
        <v>149</v>
      </c>
      <c r="E291" s="504">
        <v>5380</v>
      </c>
      <c r="F291" s="504">
        <f>S298/1000</f>
        <v>0</v>
      </c>
      <c r="G291" s="935">
        <f>F291+F292-E291-E292</f>
        <v>1020</v>
      </c>
      <c r="H291" s="910">
        <f>G291/(E291+E292)</f>
        <v>0.1895910780669145</v>
      </c>
      <c r="I291" s="20" t="s">
        <v>150</v>
      </c>
      <c r="J291" s="529"/>
      <c r="K291" s="500"/>
      <c r="L291" s="500"/>
      <c r="M291" s="500"/>
      <c r="N291" s="500"/>
      <c r="O291" s="500"/>
      <c r="P291" s="500"/>
      <c r="Q291" s="500"/>
      <c r="R291" s="98"/>
      <c r="S291" s="168"/>
      <c r="T291" s="7"/>
    </row>
    <row r="292" spans="1:20" s="169" customFormat="1" ht="15" customHeight="1">
      <c r="A292" s="23"/>
      <c r="B292" s="22"/>
      <c r="C292" s="22"/>
      <c r="D292" s="942"/>
      <c r="E292" s="503">
        <v>0</v>
      </c>
      <c r="F292" s="503">
        <f>T298/1000</f>
        <v>6400</v>
      </c>
      <c r="G292" s="935"/>
      <c r="H292" s="911"/>
      <c r="I292" s="20"/>
      <c r="J292" s="180">
        <v>50000</v>
      </c>
      <c r="K292" s="714" t="s">
        <v>20</v>
      </c>
      <c r="L292" s="714">
        <v>4</v>
      </c>
      <c r="M292" s="714" t="s">
        <v>995</v>
      </c>
      <c r="N292" s="714" t="s">
        <v>20</v>
      </c>
      <c r="O292" s="714">
        <v>32</v>
      </c>
      <c r="P292" s="714" t="s">
        <v>153</v>
      </c>
      <c r="Q292" s="714" t="s">
        <v>22</v>
      </c>
      <c r="R292" s="71">
        <f>J292*L292*O292</f>
        <v>6400000</v>
      </c>
      <c r="S292" s="168" t="s">
        <v>1082</v>
      </c>
      <c r="T292" s="7"/>
    </row>
    <row r="293" spans="1:20" s="169" customFormat="1" ht="15" hidden="1" customHeight="1">
      <c r="A293" s="23"/>
      <c r="B293" s="22"/>
      <c r="C293" s="22"/>
      <c r="D293" s="942"/>
      <c r="E293" s="289"/>
      <c r="F293" s="289"/>
      <c r="G293" s="143"/>
      <c r="H293" s="706"/>
      <c r="I293" s="20" t="s">
        <v>689</v>
      </c>
      <c r="J293" s="157"/>
      <c r="K293" s="500"/>
      <c r="L293" s="500"/>
      <c r="M293" s="500"/>
      <c r="N293" s="500"/>
      <c r="O293" s="500"/>
      <c r="P293" s="500"/>
      <c r="Q293" s="500"/>
      <c r="R293" s="71">
        <f>J293*L293*O293</f>
        <v>0</v>
      </c>
      <c r="S293" s="168"/>
      <c r="T293" s="7"/>
    </row>
    <row r="294" spans="1:20" s="169" customFormat="1" ht="15" hidden="1" customHeight="1">
      <c r="A294" s="23"/>
      <c r="B294" s="22"/>
      <c r="C294" s="22"/>
      <c r="D294" s="942"/>
      <c r="E294" s="289"/>
      <c r="F294" s="289"/>
      <c r="G294" s="143"/>
      <c r="H294" s="706"/>
      <c r="I294" s="20" t="s">
        <v>690</v>
      </c>
      <c r="J294" s="180">
        <v>5000</v>
      </c>
      <c r="K294" s="181" t="s">
        <v>20</v>
      </c>
      <c r="L294" s="182">
        <v>50</v>
      </c>
      <c r="M294" s="182" t="s">
        <v>692</v>
      </c>
      <c r="N294" s="183" t="s">
        <v>20</v>
      </c>
      <c r="O294" s="182">
        <v>0</v>
      </c>
      <c r="P294" s="182" t="s">
        <v>145</v>
      </c>
      <c r="Q294" s="181" t="s">
        <v>146</v>
      </c>
      <c r="R294" s="71">
        <f>J294*L294*O294</f>
        <v>0</v>
      </c>
      <c r="S294" s="168"/>
      <c r="T294" s="7"/>
    </row>
    <row r="295" spans="1:20" s="169" customFormat="1" ht="15" hidden="1" customHeight="1">
      <c r="A295" s="23"/>
      <c r="B295" s="22"/>
      <c r="C295" s="22"/>
      <c r="D295" s="942"/>
      <c r="E295" s="192"/>
      <c r="F295" s="192"/>
      <c r="G295" s="4"/>
      <c r="H295" s="38"/>
      <c r="I295" s="20" t="s">
        <v>691</v>
      </c>
      <c r="J295" s="180">
        <v>5000</v>
      </c>
      <c r="K295" s="181" t="s">
        <v>20</v>
      </c>
      <c r="L295" s="182">
        <v>50</v>
      </c>
      <c r="M295" s="182" t="s">
        <v>692</v>
      </c>
      <c r="N295" s="183" t="s">
        <v>20</v>
      </c>
      <c r="O295" s="182">
        <v>0</v>
      </c>
      <c r="P295" s="182" t="s">
        <v>145</v>
      </c>
      <c r="Q295" s="181" t="s">
        <v>146</v>
      </c>
      <c r="R295" s="71">
        <f>J295*L295*O295</f>
        <v>0</v>
      </c>
      <c r="S295" s="168"/>
      <c r="T295" s="7"/>
    </row>
    <row r="296" spans="1:20" s="169" customFormat="1" ht="15" customHeight="1">
      <c r="A296" s="23"/>
      <c r="B296" s="22"/>
      <c r="C296" s="22"/>
      <c r="D296" s="686"/>
      <c r="E296" s="192"/>
      <c r="F296" s="192"/>
      <c r="G296" s="4"/>
      <c r="H296" s="38"/>
      <c r="I296" s="20"/>
      <c r="J296" s="180"/>
      <c r="K296" s="181"/>
      <c r="L296" s="182"/>
      <c r="M296" s="182"/>
      <c r="N296" s="183"/>
      <c r="O296" s="182"/>
      <c r="P296" s="182"/>
      <c r="Q296" s="181"/>
      <c r="R296" s="71"/>
      <c r="S296" s="168"/>
      <c r="T296" s="7"/>
    </row>
    <row r="297" spans="1:20" s="169" customFormat="1" ht="15" customHeight="1">
      <c r="A297" s="23"/>
      <c r="B297" s="22"/>
      <c r="C297" s="22"/>
      <c r="D297" s="686"/>
      <c r="E297" s="192"/>
      <c r="F297" s="192"/>
      <c r="G297" s="4"/>
      <c r="H297" s="38"/>
      <c r="I297" s="20"/>
      <c r="J297" s="180"/>
      <c r="K297" s="181"/>
      <c r="L297" s="182"/>
      <c r="M297" s="182"/>
      <c r="N297" s="183"/>
      <c r="O297" s="182"/>
      <c r="P297" s="182"/>
      <c r="Q297" s="181"/>
      <c r="R297" s="71"/>
      <c r="S297" s="168"/>
      <c r="T297" s="7"/>
    </row>
    <row r="298" spans="1:20" s="169" customFormat="1" ht="15" customHeight="1">
      <c r="A298" s="38"/>
      <c r="B298" s="193"/>
      <c r="C298" s="38"/>
      <c r="D298" s="498"/>
      <c r="E298" s="194"/>
      <c r="F298" s="194"/>
      <c r="G298" s="195"/>
      <c r="H298" s="498"/>
      <c r="I298" s="139"/>
      <c r="J298" s="189"/>
      <c r="K298" s="196"/>
      <c r="L298" s="196"/>
      <c r="M298" s="196"/>
      <c r="N298" s="196"/>
      <c r="O298" s="196"/>
      <c r="P298" s="172"/>
      <c r="Q298" s="500" t="s">
        <v>154</v>
      </c>
      <c r="R298" s="104">
        <f>SUM(R291,R292,R293,R296,R297)</f>
        <v>6400000</v>
      </c>
      <c r="S298" s="168">
        <v>0</v>
      </c>
      <c r="T298" s="7">
        <f>R298-S298</f>
        <v>6400000</v>
      </c>
    </row>
    <row r="299" spans="1:20" s="169" customFormat="1" ht="15" customHeight="1">
      <c r="A299" s="23"/>
      <c r="B299" s="20"/>
      <c r="C299" s="32"/>
      <c r="D299" s="943" t="s">
        <v>155</v>
      </c>
      <c r="E299" s="923">
        <v>253</v>
      </c>
      <c r="F299" s="923">
        <f>S337/1000</f>
        <v>303.60000000000002</v>
      </c>
      <c r="G299" s="505">
        <f>F299+F301-E299-E301</f>
        <v>-2156.3999999999996</v>
      </c>
      <c r="H299" s="513">
        <f>G299/(E299+E301)</f>
        <v>-0.29588364434687153</v>
      </c>
      <c r="I299" s="151" t="s">
        <v>156</v>
      </c>
      <c r="J299" s="119">
        <v>25300</v>
      </c>
      <c r="K299" s="118" t="s">
        <v>20</v>
      </c>
      <c r="L299" s="118">
        <v>6</v>
      </c>
      <c r="M299" s="118" t="s">
        <v>21</v>
      </c>
      <c r="N299" s="118" t="s">
        <v>20</v>
      </c>
      <c r="O299" s="118">
        <v>2</v>
      </c>
      <c r="P299" s="118" t="s">
        <v>157</v>
      </c>
      <c r="Q299" s="118" t="s">
        <v>146</v>
      </c>
      <c r="R299" s="197">
        <f>J299*L299*O299</f>
        <v>303600</v>
      </c>
      <c r="S299" s="168"/>
      <c r="T299" s="7"/>
    </row>
    <row r="300" spans="1:20" s="169" customFormat="1" ht="15" customHeight="1">
      <c r="A300" s="23"/>
      <c r="B300" s="22"/>
      <c r="C300" s="32"/>
      <c r="D300" s="942"/>
      <c r="E300" s="918"/>
      <c r="F300" s="918"/>
      <c r="G300" s="506"/>
      <c r="H300" s="511"/>
      <c r="I300" s="20" t="s">
        <v>158</v>
      </c>
      <c r="J300" s="946" t="s">
        <v>700</v>
      </c>
      <c r="K300" s="946"/>
      <c r="L300" s="946"/>
      <c r="M300" s="946"/>
      <c r="N300" s="946"/>
      <c r="O300" s="946"/>
      <c r="P300" s="946"/>
      <c r="Q300" s="20" t="s">
        <v>146</v>
      </c>
      <c r="R300" s="68">
        <v>2304000</v>
      </c>
      <c r="S300" s="168"/>
      <c r="T300" s="7"/>
    </row>
    <row r="301" spans="1:20" s="169" customFormat="1" ht="15" customHeight="1">
      <c r="A301" s="23"/>
      <c r="B301" s="22"/>
      <c r="C301" s="32"/>
      <c r="D301" s="942"/>
      <c r="E301" s="680">
        <v>7035</v>
      </c>
      <c r="F301" s="680">
        <f>T337/1000</f>
        <v>4828</v>
      </c>
      <c r="G301" s="506"/>
      <c r="H301" s="511"/>
      <c r="I301" s="20"/>
      <c r="J301" s="63"/>
      <c r="K301" s="500"/>
      <c r="L301" s="500"/>
      <c r="M301" s="500"/>
      <c r="N301" s="500"/>
      <c r="O301" s="500"/>
      <c r="P301" s="500"/>
      <c r="Q301" s="20"/>
      <c r="R301" s="68"/>
      <c r="S301" s="168"/>
      <c r="T301" s="7"/>
    </row>
    <row r="302" spans="1:20" s="169" customFormat="1" ht="15" hidden="1" customHeight="1">
      <c r="A302" s="23"/>
      <c r="B302" s="22"/>
      <c r="C302" s="88"/>
      <c r="D302" s="522"/>
      <c r="E302" s="104"/>
      <c r="F302" s="104"/>
      <c r="G302" s="143"/>
      <c r="H302" s="511"/>
      <c r="I302" s="20" t="s">
        <v>161</v>
      </c>
      <c r="J302" s="21"/>
      <c r="K302" s="500"/>
      <c r="L302" s="500"/>
      <c r="M302" s="500"/>
      <c r="N302" s="500"/>
      <c r="O302" s="500"/>
      <c r="P302" s="500"/>
      <c r="Q302" s="20"/>
      <c r="R302" s="68">
        <f>SUM(R303,R304,R305,R306)</f>
        <v>0</v>
      </c>
      <c r="S302" s="168"/>
      <c r="T302" s="7"/>
    </row>
    <row r="303" spans="1:20" s="169" customFormat="1" ht="15" hidden="1" customHeight="1">
      <c r="A303" s="23"/>
      <c r="B303" s="22"/>
      <c r="C303" s="23"/>
      <c r="D303" s="522"/>
      <c r="E303" s="33"/>
      <c r="F303" s="33"/>
      <c r="G303" s="506"/>
      <c r="H303" s="511"/>
      <c r="I303" s="35" t="s">
        <v>162</v>
      </c>
      <c r="J303" s="79">
        <v>150000</v>
      </c>
      <c r="K303" s="21" t="s">
        <v>20</v>
      </c>
      <c r="L303" s="21">
        <v>3</v>
      </c>
      <c r="M303" s="21" t="s">
        <v>82</v>
      </c>
      <c r="N303" s="21" t="s">
        <v>20</v>
      </c>
      <c r="O303" s="21">
        <v>0</v>
      </c>
      <c r="P303" s="21" t="s">
        <v>160</v>
      </c>
      <c r="Q303" s="20" t="s">
        <v>22</v>
      </c>
      <c r="R303" s="68">
        <f>J303*L303*O303</f>
        <v>0</v>
      </c>
      <c r="S303" s="168"/>
      <c r="T303" s="7"/>
    </row>
    <row r="304" spans="1:20" s="169" customFormat="1" ht="15" hidden="1" customHeight="1">
      <c r="A304" s="23"/>
      <c r="B304" s="22"/>
      <c r="C304" s="23"/>
      <c r="D304" s="522"/>
      <c r="E304" s="104"/>
      <c r="F304" s="104"/>
      <c r="G304" s="143"/>
      <c r="H304" s="511"/>
      <c r="I304" s="35" t="s">
        <v>707</v>
      </c>
      <c r="J304" s="79">
        <v>80000</v>
      </c>
      <c r="K304" s="21" t="s">
        <v>20</v>
      </c>
      <c r="L304" s="21">
        <v>11</v>
      </c>
      <c r="M304" s="21" t="s">
        <v>21</v>
      </c>
      <c r="N304" s="21" t="s">
        <v>20</v>
      </c>
      <c r="O304" s="21">
        <v>0</v>
      </c>
      <c r="P304" s="21" t="s">
        <v>160</v>
      </c>
      <c r="Q304" s="20" t="s">
        <v>22</v>
      </c>
      <c r="R304" s="68">
        <f>J304*L304*O304</f>
        <v>0</v>
      </c>
      <c r="S304" s="168"/>
      <c r="T304" s="7"/>
    </row>
    <row r="305" spans="1:20" s="169" customFormat="1" ht="15" hidden="1" customHeight="1">
      <c r="A305" s="23"/>
      <c r="B305" s="22"/>
      <c r="C305" s="23"/>
      <c r="D305" s="522"/>
      <c r="E305" s="104"/>
      <c r="F305" s="104"/>
      <c r="G305" s="143"/>
      <c r="H305" s="511"/>
      <c r="I305" s="35" t="s">
        <v>708</v>
      </c>
      <c r="J305" s="79">
        <v>10000</v>
      </c>
      <c r="K305" s="21" t="s">
        <v>20</v>
      </c>
      <c r="L305" s="21">
        <v>11</v>
      </c>
      <c r="M305" s="21" t="s">
        <v>21</v>
      </c>
      <c r="N305" s="21" t="s">
        <v>20</v>
      </c>
      <c r="O305" s="21">
        <v>0</v>
      </c>
      <c r="P305" s="21" t="s">
        <v>82</v>
      </c>
      <c r="Q305" s="20" t="s">
        <v>22</v>
      </c>
      <c r="R305" s="68">
        <f>J305*L305*O305</f>
        <v>0</v>
      </c>
      <c r="S305" s="168"/>
      <c r="T305" s="7"/>
    </row>
    <row r="306" spans="1:20" s="169" customFormat="1" ht="15" hidden="1" customHeight="1">
      <c r="A306" s="23"/>
      <c r="B306" s="22"/>
      <c r="C306" s="23"/>
      <c r="D306" s="522"/>
      <c r="E306" s="104"/>
      <c r="F306" s="104"/>
      <c r="G306" s="143"/>
      <c r="H306" s="511"/>
      <c r="I306" s="20" t="s">
        <v>709</v>
      </c>
      <c r="J306" s="947"/>
      <c r="K306" s="947"/>
      <c r="L306" s="947"/>
      <c r="M306" s="947"/>
      <c r="N306" s="947"/>
      <c r="O306" s="947"/>
      <c r="P306" s="947"/>
      <c r="Q306" s="198"/>
      <c r="R306" s="68">
        <f>R307+R308+R309</f>
        <v>0</v>
      </c>
      <c r="S306" s="168"/>
      <c r="T306" s="7"/>
    </row>
    <row r="307" spans="1:20" s="169" customFormat="1" ht="15" hidden="1" customHeight="1">
      <c r="A307" s="23"/>
      <c r="B307" s="22"/>
      <c r="C307" s="23"/>
      <c r="D307" s="522"/>
      <c r="E307" s="104"/>
      <c r="F307" s="104"/>
      <c r="G307" s="143"/>
      <c r="H307" s="511"/>
      <c r="I307" s="20" t="s">
        <v>710</v>
      </c>
      <c r="J307" s="199">
        <v>8000</v>
      </c>
      <c r="K307" s="126" t="s">
        <v>20</v>
      </c>
      <c r="L307" s="126">
        <v>11</v>
      </c>
      <c r="M307" s="126" t="s">
        <v>21</v>
      </c>
      <c r="N307" s="126" t="s">
        <v>20</v>
      </c>
      <c r="O307" s="126">
        <v>0</v>
      </c>
      <c r="P307" s="126" t="s">
        <v>157</v>
      </c>
      <c r="Q307" s="126" t="s">
        <v>22</v>
      </c>
      <c r="R307" s="68">
        <f>J307*L307*O307</f>
        <v>0</v>
      </c>
      <c r="S307" s="168"/>
      <c r="T307" s="7"/>
    </row>
    <row r="308" spans="1:20" s="169" customFormat="1" ht="15" hidden="1" customHeight="1">
      <c r="A308" s="23"/>
      <c r="B308" s="23"/>
      <c r="C308" s="32"/>
      <c r="D308" s="522"/>
      <c r="E308" s="33"/>
      <c r="F308" s="33"/>
      <c r="G308" s="506"/>
      <c r="H308" s="511"/>
      <c r="I308" s="20" t="s">
        <v>711</v>
      </c>
      <c r="J308" s="199">
        <v>15000</v>
      </c>
      <c r="K308" s="126" t="s">
        <v>20</v>
      </c>
      <c r="L308" s="126">
        <v>11</v>
      </c>
      <c r="M308" s="126" t="s">
        <v>21</v>
      </c>
      <c r="N308" s="126" t="s">
        <v>20</v>
      </c>
      <c r="O308" s="126">
        <v>0</v>
      </c>
      <c r="P308" s="126" t="s">
        <v>157</v>
      </c>
      <c r="Q308" s="126" t="s">
        <v>22</v>
      </c>
      <c r="R308" s="68">
        <f>J308*L308*O308</f>
        <v>0</v>
      </c>
      <c r="S308" s="168"/>
      <c r="T308" s="7"/>
    </row>
    <row r="309" spans="1:20" s="169" customFormat="1" ht="15" hidden="1" customHeight="1">
      <c r="A309" s="23"/>
      <c r="B309" s="20"/>
      <c r="C309" s="32"/>
      <c r="D309" s="522"/>
      <c r="E309" s="104"/>
      <c r="F309" s="104"/>
      <c r="G309" s="143"/>
      <c r="H309" s="511"/>
      <c r="I309" s="20" t="s">
        <v>712</v>
      </c>
      <c r="J309" s="199">
        <v>3000</v>
      </c>
      <c r="K309" s="126" t="s">
        <v>20</v>
      </c>
      <c r="L309" s="126">
        <v>11</v>
      </c>
      <c r="M309" s="126" t="s">
        <v>21</v>
      </c>
      <c r="N309" s="126" t="s">
        <v>20</v>
      </c>
      <c r="O309" s="126">
        <v>0</v>
      </c>
      <c r="P309" s="126" t="s">
        <v>157</v>
      </c>
      <c r="Q309" s="126" t="s">
        <v>22</v>
      </c>
      <c r="R309" s="68">
        <f>J309*L309*O309</f>
        <v>0</v>
      </c>
      <c r="S309" s="168"/>
      <c r="T309" s="7"/>
    </row>
    <row r="310" spans="1:20" s="169" customFormat="1" ht="15" customHeight="1">
      <c r="A310" s="23"/>
      <c r="B310" s="20"/>
      <c r="C310" s="32"/>
      <c r="D310" s="522"/>
      <c r="E310" s="104"/>
      <c r="F310" s="104"/>
      <c r="G310" s="143"/>
      <c r="H310" s="511"/>
      <c r="I310" s="20" t="s">
        <v>223</v>
      </c>
      <c r="J310" s="200"/>
      <c r="K310" s="20"/>
      <c r="L310" s="20"/>
      <c r="M310" s="20"/>
      <c r="N310" s="20"/>
      <c r="O310" s="20"/>
      <c r="P310" s="20"/>
      <c r="Q310" s="20"/>
      <c r="R310" s="68">
        <f>R311+R315</f>
        <v>916000</v>
      </c>
      <c r="S310" s="168"/>
      <c r="T310" s="7"/>
    </row>
    <row r="311" spans="1:20" s="169" customFormat="1" ht="15" customHeight="1">
      <c r="A311" s="23"/>
      <c r="B311" s="20"/>
      <c r="C311" s="32"/>
      <c r="D311" s="522"/>
      <c r="E311" s="104"/>
      <c r="F311" s="104"/>
      <c r="G311" s="143"/>
      <c r="H311" s="511"/>
      <c r="I311" s="20" t="s">
        <v>701</v>
      </c>
      <c r="J311" s="200"/>
      <c r="K311" s="20"/>
      <c r="L311" s="20"/>
      <c r="M311" s="20"/>
      <c r="N311" s="20"/>
      <c r="O311" s="20"/>
      <c r="P311" s="20"/>
      <c r="Q311" s="20"/>
      <c r="R311" s="68">
        <f>R312+R313+R314</f>
        <v>468000</v>
      </c>
      <c r="S311" s="168"/>
      <c r="T311" s="7"/>
    </row>
    <row r="312" spans="1:20" s="169" customFormat="1" ht="15" customHeight="1">
      <c r="A312" s="23"/>
      <c r="B312" s="20"/>
      <c r="C312" s="32"/>
      <c r="D312" s="522"/>
      <c r="E312" s="104"/>
      <c r="F312" s="104"/>
      <c r="G312" s="143"/>
      <c r="H312" s="511"/>
      <c r="I312" s="20" t="s">
        <v>194</v>
      </c>
      <c r="J312" s="200">
        <v>3000</v>
      </c>
      <c r="K312" s="20" t="s">
        <v>20</v>
      </c>
      <c r="L312" s="20">
        <v>6</v>
      </c>
      <c r="M312" s="20" t="s">
        <v>21</v>
      </c>
      <c r="N312" s="20" t="s">
        <v>20</v>
      </c>
      <c r="O312" s="20">
        <v>2</v>
      </c>
      <c r="P312" s="20" t="s">
        <v>160</v>
      </c>
      <c r="Q312" s="20" t="s">
        <v>22</v>
      </c>
      <c r="R312" s="68">
        <f>J312*L312*O312</f>
        <v>36000</v>
      </c>
      <c r="S312" s="168"/>
      <c r="T312" s="7"/>
    </row>
    <row r="313" spans="1:20" s="169" customFormat="1" ht="15" customHeight="1">
      <c r="A313" s="23"/>
      <c r="B313" s="20"/>
      <c r="C313" s="32"/>
      <c r="D313" s="522"/>
      <c r="E313" s="104"/>
      <c r="F313" s="104"/>
      <c r="G313" s="143"/>
      <c r="H313" s="511"/>
      <c r="I313" s="20" t="s">
        <v>699</v>
      </c>
      <c r="J313" s="200">
        <v>3000</v>
      </c>
      <c r="K313" s="20" t="s">
        <v>20</v>
      </c>
      <c r="L313" s="20">
        <v>12</v>
      </c>
      <c r="M313" s="20" t="s">
        <v>21</v>
      </c>
      <c r="N313" s="20" t="s">
        <v>20</v>
      </c>
      <c r="O313" s="20">
        <v>2</v>
      </c>
      <c r="P313" s="20" t="s">
        <v>160</v>
      </c>
      <c r="Q313" s="20" t="s">
        <v>22</v>
      </c>
      <c r="R313" s="68">
        <f>J313*L313*O313</f>
        <v>72000</v>
      </c>
      <c r="S313" s="168"/>
      <c r="T313" s="7"/>
    </row>
    <row r="314" spans="1:20" s="169" customFormat="1" ht="15" customHeight="1">
      <c r="A314" s="23"/>
      <c r="B314" s="20"/>
      <c r="C314" s="32"/>
      <c r="D314" s="679"/>
      <c r="E314" s="104"/>
      <c r="F314" s="104"/>
      <c r="G314" s="143"/>
      <c r="H314" s="687"/>
      <c r="I314" s="20" t="s">
        <v>996</v>
      </c>
      <c r="J314" s="200">
        <v>30000</v>
      </c>
      <c r="K314" s="20" t="s">
        <v>20</v>
      </c>
      <c r="L314" s="20">
        <v>6</v>
      </c>
      <c r="M314" s="20" t="s">
        <v>21</v>
      </c>
      <c r="N314" s="20" t="s">
        <v>20</v>
      </c>
      <c r="O314" s="20">
        <v>2</v>
      </c>
      <c r="P314" s="20" t="s">
        <v>160</v>
      </c>
      <c r="Q314" s="20" t="s">
        <v>22</v>
      </c>
      <c r="R314" s="68">
        <f>J314*L314*O314</f>
        <v>360000</v>
      </c>
      <c r="S314" s="168"/>
      <c r="T314" s="7"/>
    </row>
    <row r="315" spans="1:20" s="169" customFormat="1" ht="15" customHeight="1">
      <c r="A315" s="23"/>
      <c r="B315" s="20"/>
      <c r="C315" s="32"/>
      <c r="D315" s="522"/>
      <c r="E315" s="104"/>
      <c r="F315" s="104"/>
      <c r="G315" s="143"/>
      <c r="H315" s="511"/>
      <c r="I315" s="20" t="s">
        <v>702</v>
      </c>
      <c r="J315" s="200">
        <v>7000</v>
      </c>
      <c r="K315" s="20" t="s">
        <v>20</v>
      </c>
      <c r="L315" s="20">
        <v>8</v>
      </c>
      <c r="M315" s="20" t="s">
        <v>21</v>
      </c>
      <c r="N315" s="20" t="s">
        <v>20</v>
      </c>
      <c r="O315" s="20">
        <v>8</v>
      </c>
      <c r="P315" s="20" t="s">
        <v>25</v>
      </c>
      <c r="Q315" s="20" t="s">
        <v>22</v>
      </c>
      <c r="R315" s="68">
        <f>J315*L315*O315</f>
        <v>448000</v>
      </c>
      <c r="S315" s="168"/>
      <c r="T315" s="7"/>
    </row>
    <row r="316" spans="1:20" s="169" customFormat="1" ht="15" hidden="1" customHeight="1">
      <c r="A316" s="23"/>
      <c r="B316" s="20"/>
      <c r="C316" s="32"/>
      <c r="D316" s="522"/>
      <c r="E316" s="104"/>
      <c r="F316" s="104"/>
      <c r="G316" s="143"/>
      <c r="H316" s="511"/>
      <c r="I316" s="20" t="s">
        <v>165</v>
      </c>
      <c r="J316" s="200">
        <v>30000</v>
      </c>
      <c r="K316" s="20" t="s">
        <v>20</v>
      </c>
      <c r="L316" s="20">
        <v>0</v>
      </c>
      <c r="M316" s="20" t="s">
        <v>166</v>
      </c>
      <c r="N316" s="20"/>
      <c r="O316" s="20"/>
      <c r="P316" s="20"/>
      <c r="Q316" s="20" t="s">
        <v>22</v>
      </c>
      <c r="R316" s="68">
        <f>J316*L316</f>
        <v>0</v>
      </c>
      <c r="S316" s="168"/>
      <c r="T316" s="7"/>
    </row>
    <row r="317" spans="1:20" s="169" customFormat="1" ht="15" customHeight="1">
      <c r="A317" s="23"/>
      <c r="B317" s="20"/>
      <c r="C317" s="32"/>
      <c r="D317" s="522"/>
      <c r="E317" s="104"/>
      <c r="F317" s="104"/>
      <c r="G317" s="143"/>
      <c r="H317" s="511"/>
      <c r="I317" s="20" t="s">
        <v>703</v>
      </c>
      <c r="J317" s="200"/>
      <c r="K317" s="20"/>
      <c r="L317" s="20"/>
      <c r="M317" s="20"/>
      <c r="N317" s="20"/>
      <c r="O317" s="20"/>
      <c r="P317" s="20"/>
      <c r="Q317" s="20"/>
      <c r="R317" s="68">
        <f>R318+R319+R325</f>
        <v>1108000</v>
      </c>
      <c r="S317" s="168"/>
      <c r="T317" s="7"/>
    </row>
    <row r="318" spans="1:20" s="169" customFormat="1" ht="15" customHeight="1">
      <c r="A318" s="23"/>
      <c r="B318" s="20"/>
      <c r="C318" s="32"/>
      <c r="D318" s="522"/>
      <c r="E318" s="104"/>
      <c r="F318" s="104"/>
      <c r="G318" s="143"/>
      <c r="H318" s="511"/>
      <c r="I318" s="20" t="s">
        <v>704</v>
      </c>
      <c r="J318" s="200">
        <v>50000</v>
      </c>
      <c r="K318" s="20" t="s">
        <v>20</v>
      </c>
      <c r="L318" s="20">
        <v>3</v>
      </c>
      <c r="M318" s="20" t="s">
        <v>25</v>
      </c>
      <c r="N318" s="20" t="s">
        <v>20</v>
      </c>
      <c r="O318" s="20">
        <v>2</v>
      </c>
      <c r="P318" s="20" t="s">
        <v>160</v>
      </c>
      <c r="Q318" s="20" t="s">
        <v>22</v>
      </c>
      <c r="R318" s="68">
        <f>J318*L318*O318</f>
        <v>300000</v>
      </c>
      <c r="S318" s="168"/>
      <c r="T318" s="7"/>
    </row>
    <row r="319" spans="1:20" s="169" customFormat="1" ht="15" customHeight="1">
      <c r="A319" s="23"/>
      <c r="B319" s="20"/>
      <c r="C319" s="32"/>
      <c r="D319" s="522"/>
      <c r="E319" s="104"/>
      <c r="F319" s="104"/>
      <c r="G319" s="143"/>
      <c r="H319" s="511"/>
      <c r="I319" s="20" t="s">
        <v>705</v>
      </c>
      <c r="J319" s="200"/>
      <c r="K319" s="20"/>
      <c r="L319" s="20"/>
      <c r="M319" s="20"/>
      <c r="N319" s="20"/>
      <c r="O319" s="20"/>
      <c r="P319" s="20"/>
      <c r="Q319" s="20"/>
      <c r="R319" s="68">
        <f>SUM(R320:R324)</f>
        <v>700000</v>
      </c>
      <c r="S319" s="168"/>
      <c r="T319" s="7"/>
    </row>
    <row r="320" spans="1:20" s="169" customFormat="1" ht="15" customHeight="1">
      <c r="A320" s="23"/>
      <c r="B320" s="20"/>
      <c r="C320" s="32"/>
      <c r="D320" s="522"/>
      <c r="E320" s="104"/>
      <c r="F320" s="104"/>
      <c r="G320" s="143"/>
      <c r="H320" s="511"/>
      <c r="I320" s="20" t="s">
        <v>706</v>
      </c>
      <c r="J320" s="200">
        <v>10000</v>
      </c>
      <c r="K320" s="20" t="s">
        <v>20</v>
      </c>
      <c r="L320" s="20">
        <v>9</v>
      </c>
      <c r="M320" s="20" t="s">
        <v>21</v>
      </c>
      <c r="N320" s="20" t="s">
        <v>20</v>
      </c>
      <c r="O320" s="20">
        <v>2</v>
      </c>
      <c r="P320" s="20" t="s">
        <v>82</v>
      </c>
      <c r="Q320" s="20" t="s">
        <v>22</v>
      </c>
      <c r="R320" s="68">
        <f t="shared" ref="R320:R325" si="11">J320*L320*O320</f>
        <v>180000</v>
      </c>
      <c r="S320" s="168"/>
      <c r="T320" s="7"/>
    </row>
    <row r="321" spans="1:20" s="169" customFormat="1" ht="15" customHeight="1">
      <c r="A321" s="23"/>
      <c r="B321" s="20"/>
      <c r="C321" s="32"/>
      <c r="D321" s="522"/>
      <c r="E321" s="104"/>
      <c r="F321" s="104"/>
      <c r="G321" s="143"/>
      <c r="H321" s="511"/>
      <c r="I321" s="20" t="s">
        <v>997</v>
      </c>
      <c r="J321" s="200">
        <v>5000</v>
      </c>
      <c r="K321" s="20" t="s">
        <v>20</v>
      </c>
      <c r="L321" s="20">
        <v>6</v>
      </c>
      <c r="M321" s="20" t="s">
        <v>21</v>
      </c>
      <c r="N321" s="20" t="s">
        <v>20</v>
      </c>
      <c r="O321" s="20">
        <v>2</v>
      </c>
      <c r="P321" s="20" t="s">
        <v>160</v>
      </c>
      <c r="Q321" s="20" t="s">
        <v>22</v>
      </c>
      <c r="R321" s="68">
        <f t="shared" si="11"/>
        <v>60000</v>
      </c>
      <c r="S321" s="168"/>
      <c r="T321" s="7"/>
    </row>
    <row r="322" spans="1:20" s="169" customFormat="1" ht="15" customHeight="1">
      <c r="A322" s="23"/>
      <c r="B322" s="20"/>
      <c r="C322" s="32"/>
      <c r="D322" s="679"/>
      <c r="E322" s="104"/>
      <c r="F322" s="104"/>
      <c r="G322" s="143"/>
      <c r="H322" s="687"/>
      <c r="I322" s="20" t="s">
        <v>998</v>
      </c>
      <c r="J322" s="200">
        <v>50000</v>
      </c>
      <c r="K322" s="20" t="s">
        <v>20</v>
      </c>
      <c r="L322" s="20">
        <v>1</v>
      </c>
      <c r="M322" s="20" t="s">
        <v>25</v>
      </c>
      <c r="N322" s="20" t="s">
        <v>20</v>
      </c>
      <c r="O322" s="20">
        <v>2</v>
      </c>
      <c r="P322" s="20" t="s">
        <v>160</v>
      </c>
      <c r="Q322" s="20" t="s">
        <v>22</v>
      </c>
      <c r="R322" s="68">
        <f t="shared" si="11"/>
        <v>100000</v>
      </c>
      <c r="S322" s="168"/>
      <c r="T322" s="7"/>
    </row>
    <row r="323" spans="1:20" s="169" customFormat="1" ht="15" customHeight="1">
      <c r="A323" s="23"/>
      <c r="B323" s="20"/>
      <c r="C323" s="32"/>
      <c r="D323" s="522"/>
      <c r="E323" s="104"/>
      <c r="F323" s="104"/>
      <c r="G323" s="143"/>
      <c r="H323" s="511"/>
      <c r="I323" s="20" t="s">
        <v>999</v>
      </c>
      <c r="J323" s="200">
        <v>10000</v>
      </c>
      <c r="K323" s="20" t="s">
        <v>20</v>
      </c>
      <c r="L323" s="20">
        <v>6</v>
      </c>
      <c r="M323" s="20" t="s">
        <v>21</v>
      </c>
      <c r="N323" s="20" t="s">
        <v>20</v>
      </c>
      <c r="O323" s="20">
        <v>4</v>
      </c>
      <c r="P323" s="20" t="s">
        <v>25</v>
      </c>
      <c r="Q323" s="20" t="s">
        <v>22</v>
      </c>
      <c r="R323" s="68">
        <f t="shared" si="11"/>
        <v>240000</v>
      </c>
      <c r="S323" s="168"/>
      <c r="T323" s="7"/>
    </row>
    <row r="324" spans="1:20" s="169" customFormat="1" ht="15" customHeight="1">
      <c r="A324" s="23"/>
      <c r="B324" s="20"/>
      <c r="C324" s="32"/>
      <c r="D324" s="712"/>
      <c r="E324" s="104"/>
      <c r="F324" s="104"/>
      <c r="G324" s="143"/>
      <c r="H324" s="711"/>
      <c r="I324" s="20" t="s">
        <v>1071</v>
      </c>
      <c r="J324" s="200">
        <v>10000</v>
      </c>
      <c r="K324" s="20" t="s">
        <v>20</v>
      </c>
      <c r="L324" s="20">
        <v>6</v>
      </c>
      <c r="M324" s="20" t="s">
        <v>21</v>
      </c>
      <c r="N324" s="20" t="s">
        <v>20</v>
      </c>
      <c r="O324" s="20">
        <v>2</v>
      </c>
      <c r="P324" s="20" t="s">
        <v>25</v>
      </c>
      <c r="Q324" s="20" t="s">
        <v>22</v>
      </c>
      <c r="R324" s="68">
        <f t="shared" si="11"/>
        <v>120000</v>
      </c>
      <c r="S324" s="168"/>
      <c r="T324" s="7"/>
    </row>
    <row r="325" spans="1:20" s="169" customFormat="1" ht="15" customHeight="1">
      <c r="A325" s="23"/>
      <c r="B325" s="20"/>
      <c r="C325" s="32"/>
      <c r="D325" s="522"/>
      <c r="E325" s="104"/>
      <c r="F325" s="104"/>
      <c r="G325" s="143"/>
      <c r="H325" s="511"/>
      <c r="I325" s="20" t="s">
        <v>1000</v>
      </c>
      <c r="J325" s="200">
        <v>1000</v>
      </c>
      <c r="K325" s="20" t="s">
        <v>20</v>
      </c>
      <c r="L325" s="20">
        <v>9</v>
      </c>
      <c r="M325" s="20" t="s">
        <v>21</v>
      </c>
      <c r="N325" s="20" t="s">
        <v>20</v>
      </c>
      <c r="O325" s="20">
        <v>12</v>
      </c>
      <c r="P325" s="20" t="s">
        <v>1001</v>
      </c>
      <c r="Q325" s="20" t="s">
        <v>22</v>
      </c>
      <c r="R325" s="68">
        <f t="shared" si="11"/>
        <v>108000</v>
      </c>
      <c r="S325" s="168"/>
      <c r="T325" s="7"/>
    </row>
    <row r="326" spans="1:20" s="169" customFormat="1" ht="15" customHeight="1">
      <c r="A326" s="23"/>
      <c r="B326" s="20"/>
      <c r="C326" s="32"/>
      <c r="D326" s="522"/>
      <c r="E326" s="104"/>
      <c r="F326" s="104"/>
      <c r="G326" s="143"/>
      <c r="H326" s="511"/>
      <c r="I326" s="20" t="s">
        <v>713</v>
      </c>
      <c r="J326" s="500"/>
      <c r="K326" s="500"/>
      <c r="L326" s="500"/>
      <c r="M326" s="500"/>
      <c r="N326" s="500"/>
      <c r="O326" s="500"/>
      <c r="P326" s="500"/>
      <c r="Q326" s="20"/>
      <c r="R326" s="68">
        <f>SUM(R327:R329)</f>
        <v>500000</v>
      </c>
      <c r="S326" s="168"/>
      <c r="T326" s="7"/>
    </row>
    <row r="327" spans="1:20" s="169" customFormat="1" ht="15" customHeight="1">
      <c r="A327" s="23"/>
      <c r="B327" s="20"/>
      <c r="C327" s="32"/>
      <c r="D327" s="522"/>
      <c r="E327" s="104"/>
      <c r="F327" s="104"/>
      <c r="G327" s="143"/>
      <c r="H327" s="511"/>
      <c r="I327" s="20" t="s">
        <v>1002</v>
      </c>
      <c r="J327" s="500">
        <v>20000</v>
      </c>
      <c r="K327" s="500" t="s">
        <v>20</v>
      </c>
      <c r="L327" s="500">
        <v>7</v>
      </c>
      <c r="M327" s="500" t="s">
        <v>180</v>
      </c>
      <c r="N327" s="500" t="s">
        <v>20</v>
      </c>
      <c r="O327" s="500">
        <v>2</v>
      </c>
      <c r="P327" s="500" t="s">
        <v>157</v>
      </c>
      <c r="Q327" s="20" t="s">
        <v>22</v>
      </c>
      <c r="R327" s="68">
        <f>J327*L327*O327</f>
        <v>280000</v>
      </c>
      <c r="S327" s="168"/>
      <c r="T327" s="7"/>
    </row>
    <row r="328" spans="1:20" s="169" customFormat="1" ht="15" customHeight="1">
      <c r="A328" s="23"/>
      <c r="B328" s="20"/>
      <c r="C328" s="32"/>
      <c r="D328" s="522"/>
      <c r="E328" s="104"/>
      <c r="F328" s="104"/>
      <c r="G328" s="143"/>
      <c r="H328" s="511"/>
      <c r="I328" s="20" t="s">
        <v>714</v>
      </c>
      <c r="J328" s="685">
        <v>10000</v>
      </c>
      <c r="K328" s="685" t="s">
        <v>20</v>
      </c>
      <c r="L328" s="685">
        <v>6</v>
      </c>
      <c r="M328" s="685" t="s">
        <v>180</v>
      </c>
      <c r="N328" s="685" t="s">
        <v>20</v>
      </c>
      <c r="O328" s="685">
        <v>2</v>
      </c>
      <c r="P328" s="685" t="s">
        <v>157</v>
      </c>
      <c r="Q328" s="20" t="s">
        <v>22</v>
      </c>
      <c r="R328" s="68">
        <f>J328*L328*O328</f>
        <v>120000</v>
      </c>
      <c r="S328" s="168"/>
      <c r="T328" s="7"/>
    </row>
    <row r="329" spans="1:20" s="169" customFormat="1" ht="15" customHeight="1">
      <c r="A329" s="23"/>
      <c r="B329" s="20"/>
      <c r="C329" s="32"/>
      <c r="D329" s="679"/>
      <c r="E329" s="104"/>
      <c r="F329" s="104"/>
      <c r="G329" s="143"/>
      <c r="H329" s="687"/>
      <c r="I329" s="20" t="s">
        <v>1003</v>
      </c>
      <c r="J329" s="685">
        <v>50000</v>
      </c>
      <c r="K329" s="685" t="s">
        <v>20</v>
      </c>
      <c r="L329" s="685">
        <v>1</v>
      </c>
      <c r="M329" s="685" t="s">
        <v>25</v>
      </c>
      <c r="N329" s="685" t="s">
        <v>20</v>
      </c>
      <c r="O329" s="685">
        <v>2</v>
      </c>
      <c r="P329" s="685" t="s">
        <v>157</v>
      </c>
      <c r="Q329" s="20" t="s">
        <v>22</v>
      </c>
      <c r="R329" s="68">
        <f>J329*L329*O329</f>
        <v>100000</v>
      </c>
      <c r="S329" s="168"/>
      <c r="T329" s="7"/>
    </row>
    <row r="330" spans="1:20" s="169" customFormat="1" ht="15" customHeight="1">
      <c r="A330" s="23"/>
      <c r="B330" s="20"/>
      <c r="C330" s="32"/>
      <c r="D330" s="522"/>
      <c r="E330" s="104"/>
      <c r="F330" s="104"/>
      <c r="G330" s="143"/>
      <c r="H330" s="511"/>
      <c r="I330" s="20"/>
      <c r="J330" s="500"/>
      <c r="K330" s="500"/>
      <c r="L330" s="500"/>
      <c r="M330" s="500"/>
      <c r="N330" s="500"/>
      <c r="O330" s="500"/>
      <c r="P330" s="500"/>
      <c r="Q330" s="20"/>
      <c r="R330" s="68"/>
      <c r="S330" s="168"/>
      <c r="T330" s="7"/>
    </row>
    <row r="331" spans="1:20" s="169" customFormat="1" ht="15" customHeight="1">
      <c r="A331" s="23"/>
      <c r="B331" s="20"/>
      <c r="C331" s="32"/>
      <c r="D331" s="522"/>
      <c r="E331" s="104"/>
      <c r="F331" s="104"/>
      <c r="G331" s="143"/>
      <c r="H331" s="511"/>
      <c r="I331" s="20"/>
      <c r="J331" s="200"/>
      <c r="K331" s="20"/>
      <c r="L331" s="20"/>
      <c r="M331" s="20"/>
      <c r="N331" s="20"/>
      <c r="O331" s="20"/>
      <c r="P331" s="20"/>
      <c r="Q331" s="20"/>
      <c r="R331" s="68"/>
      <c r="S331" s="168"/>
      <c r="T331" s="7"/>
    </row>
    <row r="332" spans="1:20" s="169" customFormat="1" ht="15" hidden="1" customHeight="1">
      <c r="A332" s="23"/>
      <c r="B332" s="20"/>
      <c r="C332" s="32"/>
      <c r="D332" s="522"/>
      <c r="E332" s="104"/>
      <c r="F332" s="104"/>
      <c r="G332" s="143"/>
      <c r="H332" s="511"/>
      <c r="I332" s="20"/>
      <c r="J332" s="200"/>
      <c r="K332" s="20"/>
      <c r="L332" s="20"/>
      <c r="M332" s="20"/>
      <c r="N332" s="20"/>
      <c r="O332" s="20"/>
      <c r="P332" s="20"/>
      <c r="Q332" s="20"/>
      <c r="R332" s="68"/>
      <c r="S332" s="168"/>
      <c r="T332" s="7"/>
    </row>
    <row r="333" spans="1:20" s="169" customFormat="1" ht="15" customHeight="1">
      <c r="A333" s="23"/>
      <c r="B333" s="20"/>
      <c r="C333" s="32"/>
      <c r="D333" s="679"/>
      <c r="E333" s="104"/>
      <c r="F333" s="104"/>
      <c r="G333" s="143"/>
      <c r="H333" s="687"/>
      <c r="I333" s="20"/>
      <c r="J333" s="200"/>
      <c r="K333" s="20"/>
      <c r="L333" s="20"/>
      <c r="M333" s="20"/>
      <c r="N333" s="20"/>
      <c r="O333" s="20"/>
      <c r="P333" s="20"/>
      <c r="Q333" s="20"/>
      <c r="R333" s="68"/>
      <c r="S333" s="168"/>
      <c r="T333" s="7"/>
    </row>
    <row r="334" spans="1:20" s="169" customFormat="1" ht="15" customHeight="1">
      <c r="A334" s="23"/>
      <c r="B334" s="20"/>
      <c r="C334" s="32"/>
      <c r="D334" s="679"/>
      <c r="E334" s="104"/>
      <c r="F334" s="104"/>
      <c r="G334" s="143"/>
      <c r="H334" s="687"/>
      <c r="I334" s="20"/>
      <c r="J334" s="200"/>
      <c r="K334" s="20"/>
      <c r="L334" s="20"/>
      <c r="M334" s="20"/>
      <c r="N334" s="20"/>
      <c r="O334" s="20"/>
      <c r="P334" s="20"/>
      <c r="Q334" s="20"/>
      <c r="R334" s="68"/>
      <c r="S334" s="168"/>
      <c r="T334" s="7"/>
    </row>
    <row r="335" spans="1:20" s="169" customFormat="1" ht="15" hidden="1" customHeight="1">
      <c r="A335" s="23"/>
      <c r="B335" s="20"/>
      <c r="C335" s="32"/>
      <c r="D335" s="522"/>
      <c r="E335" s="104"/>
      <c r="F335" s="104"/>
      <c r="G335" s="143"/>
      <c r="H335" s="511"/>
      <c r="I335" s="20" t="s">
        <v>168</v>
      </c>
      <c r="J335" s="200">
        <v>15000</v>
      </c>
      <c r="K335" s="20" t="s">
        <v>20</v>
      </c>
      <c r="L335" s="20">
        <v>6</v>
      </c>
      <c r="M335" s="20" t="s">
        <v>21</v>
      </c>
      <c r="N335" s="20" t="s">
        <v>20</v>
      </c>
      <c r="O335" s="20">
        <v>0</v>
      </c>
      <c r="P335" s="20" t="s">
        <v>82</v>
      </c>
      <c r="Q335" s="20" t="s">
        <v>22</v>
      </c>
      <c r="R335" s="68">
        <f>J335*L335*O335</f>
        <v>0</v>
      </c>
      <c r="S335" s="168"/>
      <c r="T335" s="7"/>
    </row>
    <row r="336" spans="1:20" s="169" customFormat="1" ht="15" customHeight="1">
      <c r="A336" s="23"/>
      <c r="B336" s="20"/>
      <c r="C336" s="32"/>
      <c r="D336" s="522"/>
      <c r="E336" s="104"/>
      <c r="F336" s="104"/>
      <c r="G336" s="143"/>
      <c r="H336" s="511"/>
      <c r="I336" s="20"/>
      <c r="J336" s="947"/>
      <c r="K336" s="947"/>
      <c r="L336" s="947"/>
      <c r="M336" s="947"/>
      <c r="N336" s="947"/>
      <c r="O336" s="947"/>
      <c r="P336" s="947"/>
      <c r="Q336" s="20"/>
      <c r="R336" s="98"/>
      <c r="S336" s="168"/>
      <c r="T336" s="7"/>
    </row>
    <row r="337" spans="1:20" s="169" customFormat="1" ht="15" customHeight="1">
      <c r="A337" s="23"/>
      <c r="B337" s="20"/>
      <c r="C337" s="32"/>
      <c r="D337" s="522"/>
      <c r="E337" s="33"/>
      <c r="F337" s="33"/>
      <c r="G337" s="506"/>
      <c r="H337" s="511"/>
      <c r="I337" s="20"/>
      <c r="J337" s="945"/>
      <c r="K337" s="945"/>
      <c r="L337" s="945"/>
      <c r="M337" s="945"/>
      <c r="N337" s="945"/>
      <c r="O337" s="945"/>
      <c r="P337" s="945"/>
      <c r="Q337" s="20" t="s">
        <v>23</v>
      </c>
      <c r="R337" s="201">
        <f>R299+R300+R310+R317+R326+R330</f>
        <v>5131600</v>
      </c>
      <c r="S337" s="168">
        <v>303600</v>
      </c>
      <c r="T337" s="7">
        <f>R337-S337</f>
        <v>4828000</v>
      </c>
    </row>
    <row r="338" spans="1:20" s="169" customFormat="1" ht="15" customHeight="1">
      <c r="A338" s="23"/>
      <c r="B338" s="22"/>
      <c r="C338" s="88"/>
      <c r="D338" s="943" t="s">
        <v>169</v>
      </c>
      <c r="E338" s="923">
        <v>13260</v>
      </c>
      <c r="F338" s="923">
        <f>S382/1000</f>
        <v>6560</v>
      </c>
      <c r="G338" s="933">
        <f>F338+F340-E338-E340</f>
        <v>-8385</v>
      </c>
      <c r="H338" s="951">
        <f>G338/(E338+E340)</f>
        <v>-0.51743289108299906</v>
      </c>
      <c r="I338" s="671" t="s">
        <v>170</v>
      </c>
      <c r="J338" s="107"/>
      <c r="K338" s="28"/>
      <c r="L338" s="28"/>
      <c r="M338" s="28"/>
      <c r="N338" s="28"/>
      <c r="O338" s="28"/>
      <c r="P338" s="28"/>
      <c r="Q338" s="28"/>
      <c r="R338" s="167">
        <f>SUM(R339,R340)</f>
        <v>4570000</v>
      </c>
      <c r="S338" s="168"/>
      <c r="T338" s="7"/>
    </row>
    <row r="339" spans="1:20" s="169" customFormat="1" ht="15" customHeight="1">
      <c r="A339" s="23"/>
      <c r="B339" s="22"/>
      <c r="C339" s="23"/>
      <c r="D339" s="942"/>
      <c r="E339" s="918"/>
      <c r="F339" s="918"/>
      <c r="G339" s="935"/>
      <c r="H339" s="952"/>
      <c r="I339" s="112" t="s">
        <v>171</v>
      </c>
      <c r="J339" s="944" t="s">
        <v>989</v>
      </c>
      <c r="K339" s="944"/>
      <c r="L339" s="944"/>
      <c r="M339" s="944"/>
      <c r="N339" s="944"/>
      <c r="O339" s="944"/>
      <c r="P339" s="944"/>
      <c r="Q339" s="177" t="s">
        <v>22</v>
      </c>
      <c r="R339" s="136">
        <v>3360000</v>
      </c>
      <c r="S339" s="168"/>
      <c r="T339" s="7"/>
    </row>
    <row r="340" spans="1:20" s="169" customFormat="1" ht="15" customHeight="1">
      <c r="A340" s="23"/>
      <c r="B340" s="22"/>
      <c r="C340" s="23"/>
      <c r="D340" s="942"/>
      <c r="E340" s="925">
        <v>2945</v>
      </c>
      <c r="F340" s="925">
        <f>T382/1000</f>
        <v>1260</v>
      </c>
      <c r="G340" s="935"/>
      <c r="H340" s="952"/>
      <c r="I340" s="20" t="s">
        <v>172</v>
      </c>
      <c r="J340" s="157"/>
      <c r="K340" s="202"/>
      <c r="L340" s="532"/>
      <c r="M340" s="532"/>
      <c r="N340" s="532"/>
      <c r="O340" s="532"/>
      <c r="P340" s="532"/>
      <c r="Q340" s="489"/>
      <c r="R340" s="203">
        <f>SUM(R341:R343)</f>
        <v>1210000</v>
      </c>
      <c r="S340" s="168"/>
      <c r="T340" s="7"/>
    </row>
    <row r="341" spans="1:20" s="169" customFormat="1" ht="15.75" customHeight="1">
      <c r="A341" s="23"/>
      <c r="B341" s="35"/>
      <c r="C341" s="32"/>
      <c r="D341" s="942"/>
      <c r="E341" s="926"/>
      <c r="F341" s="926"/>
      <c r="G341" s="935"/>
      <c r="H341" s="952"/>
      <c r="I341" s="35" t="s">
        <v>173</v>
      </c>
      <c r="J341" s="945" t="s">
        <v>990</v>
      </c>
      <c r="K341" s="945"/>
      <c r="L341" s="945"/>
      <c r="M341" s="945"/>
      <c r="N341" s="945"/>
      <c r="O341" s="945"/>
      <c r="P341" s="945"/>
      <c r="Q341" s="20" t="s">
        <v>22</v>
      </c>
      <c r="R341" s="71">
        <v>960000</v>
      </c>
      <c r="S341" s="168"/>
      <c r="T341" s="7"/>
    </row>
    <row r="342" spans="1:20" s="169" customFormat="1" ht="15.75" customHeight="1">
      <c r="A342" s="23"/>
      <c r="B342" s="20"/>
      <c r="C342" s="32"/>
      <c r="D342" s="522"/>
      <c r="E342" s="104"/>
      <c r="F342" s="104"/>
      <c r="G342" s="506"/>
      <c r="H342" s="537"/>
      <c r="I342" s="20" t="s">
        <v>174</v>
      </c>
      <c r="J342" s="63">
        <v>100000</v>
      </c>
      <c r="K342" s="204" t="s">
        <v>20</v>
      </c>
      <c r="L342" s="204">
        <v>1</v>
      </c>
      <c r="M342" s="204" t="s">
        <v>175</v>
      </c>
      <c r="N342" s="204"/>
      <c r="O342" s="204"/>
      <c r="P342" s="204"/>
      <c r="Q342" s="20" t="s">
        <v>22</v>
      </c>
      <c r="R342" s="71">
        <f>J342*L342</f>
        <v>100000</v>
      </c>
      <c r="S342" s="168"/>
      <c r="T342" s="7"/>
    </row>
    <row r="343" spans="1:20" s="169" customFormat="1" ht="15.75" customHeight="1">
      <c r="A343" s="23"/>
      <c r="B343" s="20"/>
      <c r="C343" s="32"/>
      <c r="D343" s="522"/>
      <c r="E343" s="104"/>
      <c r="F343" s="104"/>
      <c r="G343" s="205"/>
      <c r="H343" s="537"/>
      <c r="I343" s="20" t="s">
        <v>176</v>
      </c>
      <c r="J343" s="63">
        <v>50000</v>
      </c>
      <c r="K343" s="204" t="s">
        <v>20</v>
      </c>
      <c r="L343" s="204">
        <v>3</v>
      </c>
      <c r="M343" s="204" t="s">
        <v>175</v>
      </c>
      <c r="N343" s="204"/>
      <c r="O343" s="204"/>
      <c r="P343" s="204"/>
      <c r="Q343" s="20" t="s">
        <v>22</v>
      </c>
      <c r="R343" s="71">
        <f>J343*L343</f>
        <v>150000</v>
      </c>
      <c r="S343" s="168"/>
      <c r="T343" s="7"/>
    </row>
    <row r="344" spans="1:20" s="169" customFormat="1" ht="15.75" hidden="1" customHeight="1">
      <c r="A344" s="23"/>
      <c r="B344" s="20"/>
      <c r="C344" s="32"/>
      <c r="D344" s="522"/>
      <c r="E344" s="104"/>
      <c r="F344" s="104"/>
      <c r="G344" s="205"/>
      <c r="H344" s="537"/>
      <c r="I344" s="20" t="s">
        <v>177</v>
      </c>
      <c r="J344" s="67">
        <v>30000</v>
      </c>
      <c r="K344" s="489" t="s">
        <v>20</v>
      </c>
      <c r="L344" s="489">
        <v>0</v>
      </c>
      <c r="M344" s="489" t="s">
        <v>178</v>
      </c>
      <c r="N344" s="489"/>
      <c r="O344" s="489"/>
      <c r="P344" s="20"/>
      <c r="Q344" s="20" t="s">
        <v>22</v>
      </c>
      <c r="R344" s="71">
        <f>J344*L344</f>
        <v>0</v>
      </c>
      <c r="S344" s="168"/>
      <c r="T344" s="7"/>
    </row>
    <row r="345" spans="1:20" s="169" customFormat="1" ht="15.75" customHeight="1">
      <c r="A345" s="23"/>
      <c r="B345" s="20"/>
      <c r="C345" s="32"/>
      <c r="D345" s="522"/>
      <c r="E345" s="104"/>
      <c r="F345" s="104"/>
      <c r="G345" s="205"/>
      <c r="H345" s="537"/>
      <c r="I345" s="20"/>
      <c r="J345" s="67"/>
      <c r="K345" s="489"/>
      <c r="L345" s="489"/>
      <c r="M345" s="489"/>
      <c r="N345" s="489"/>
      <c r="O345" s="489"/>
      <c r="P345" s="20"/>
      <c r="Q345" s="20"/>
      <c r="R345" s="71"/>
      <c r="S345" s="168"/>
      <c r="T345" s="7"/>
    </row>
    <row r="346" spans="1:20" s="169" customFormat="1" ht="15.75" customHeight="1">
      <c r="A346" s="23"/>
      <c r="B346" s="20"/>
      <c r="C346" s="32"/>
      <c r="D346" s="522"/>
      <c r="E346" s="104"/>
      <c r="F346" s="104"/>
      <c r="G346" s="205"/>
      <c r="H346" s="537"/>
      <c r="I346" s="690" t="s">
        <v>179</v>
      </c>
      <c r="J346" s="67"/>
      <c r="K346" s="489"/>
      <c r="L346" s="489"/>
      <c r="M346" s="489"/>
      <c r="N346" s="489"/>
      <c r="O346" s="489"/>
      <c r="P346" s="20"/>
      <c r="Q346" s="20"/>
      <c r="R346" s="71">
        <f>SUM(R347,R349,R355)</f>
        <v>50000</v>
      </c>
      <c r="S346" s="168"/>
      <c r="T346" s="7"/>
    </row>
    <row r="347" spans="1:20" s="169" customFormat="1" ht="15.75" customHeight="1">
      <c r="A347" s="23"/>
      <c r="B347" s="20"/>
      <c r="C347" s="32"/>
      <c r="D347" s="522"/>
      <c r="E347" s="104"/>
      <c r="F347" s="104"/>
      <c r="G347" s="205"/>
      <c r="H347" s="537"/>
      <c r="I347" s="20" t="s">
        <v>991</v>
      </c>
      <c r="J347" s="67">
        <v>50000</v>
      </c>
      <c r="K347" s="661" t="s">
        <v>20</v>
      </c>
      <c r="L347" s="661">
        <v>1</v>
      </c>
      <c r="M347" s="661" t="s">
        <v>25</v>
      </c>
      <c r="N347" s="661" t="s">
        <v>20</v>
      </c>
      <c r="O347" s="661">
        <v>1</v>
      </c>
      <c r="P347" s="20" t="s">
        <v>157</v>
      </c>
      <c r="Q347" s="20" t="s">
        <v>22</v>
      </c>
      <c r="R347" s="71">
        <f>J347*L347*O347</f>
        <v>50000</v>
      </c>
      <c r="S347" s="168"/>
      <c r="T347" s="7"/>
    </row>
    <row r="348" spans="1:20" s="169" customFormat="1" ht="15.75" hidden="1" customHeight="1">
      <c r="A348" s="23"/>
      <c r="B348" s="20"/>
      <c r="C348" s="32"/>
      <c r="D348" s="522"/>
      <c r="E348" s="104"/>
      <c r="F348" s="104"/>
      <c r="G348" s="205"/>
      <c r="H348" s="537"/>
      <c r="I348" s="20" t="s">
        <v>181</v>
      </c>
      <c r="J348" s="157">
        <v>50000</v>
      </c>
      <c r="K348" s="489" t="s">
        <v>20</v>
      </c>
      <c r="L348" s="489">
        <v>0</v>
      </c>
      <c r="M348" s="489" t="s">
        <v>180</v>
      </c>
      <c r="N348" s="489"/>
      <c r="O348" s="489"/>
      <c r="P348" s="20"/>
      <c r="Q348" s="20" t="s">
        <v>22</v>
      </c>
      <c r="R348" s="104">
        <f>J348*L348</f>
        <v>0</v>
      </c>
      <c r="S348" s="168"/>
      <c r="T348" s="7"/>
    </row>
    <row r="349" spans="1:20" s="169" customFormat="1" ht="15.75" hidden="1" customHeight="1">
      <c r="A349" s="23"/>
      <c r="B349" s="20"/>
      <c r="C349" s="32"/>
      <c r="D349" s="522"/>
      <c r="E349" s="104"/>
      <c r="F349" s="104"/>
      <c r="G349" s="205"/>
      <c r="H349" s="537"/>
      <c r="I349" s="20" t="s">
        <v>182</v>
      </c>
      <c r="J349" s="67"/>
      <c r="K349" s="489"/>
      <c r="L349" s="489"/>
      <c r="M349" s="489"/>
      <c r="N349" s="489"/>
      <c r="O349" s="489"/>
      <c r="P349" s="20"/>
      <c r="Q349" s="20"/>
      <c r="R349" s="71"/>
      <c r="S349" s="168"/>
      <c r="T349" s="7"/>
    </row>
    <row r="350" spans="1:20" s="169" customFormat="1" ht="15.75" hidden="1" customHeight="1">
      <c r="A350" s="23"/>
      <c r="B350" s="20"/>
      <c r="C350" s="32"/>
      <c r="D350" s="522"/>
      <c r="E350" s="104"/>
      <c r="F350" s="104"/>
      <c r="G350" s="205"/>
      <c r="H350" s="537"/>
      <c r="I350" s="20" t="s">
        <v>183</v>
      </c>
      <c r="J350" s="67">
        <v>40000</v>
      </c>
      <c r="K350" s="489" t="s">
        <v>20</v>
      </c>
      <c r="L350" s="489">
        <v>0</v>
      </c>
      <c r="M350" s="489" t="s">
        <v>184</v>
      </c>
      <c r="N350" s="489"/>
      <c r="O350" s="489"/>
      <c r="P350" s="20"/>
      <c r="Q350" s="20" t="s">
        <v>22</v>
      </c>
      <c r="R350" s="71">
        <f>J350*L350</f>
        <v>0</v>
      </c>
      <c r="S350" s="168"/>
      <c r="T350" s="7"/>
    </row>
    <row r="351" spans="1:20" s="169" customFormat="1" ht="15.75" hidden="1" customHeight="1">
      <c r="A351" s="23"/>
      <c r="B351" s="20"/>
      <c r="C351" s="32"/>
      <c r="D351" s="522"/>
      <c r="E351" s="104"/>
      <c r="F351" s="104"/>
      <c r="G351" s="205"/>
      <c r="H351" s="537"/>
      <c r="I351" s="20"/>
      <c r="J351" s="67">
        <v>20000</v>
      </c>
      <c r="K351" s="489" t="s">
        <v>20</v>
      </c>
      <c r="L351" s="489">
        <v>0</v>
      </c>
      <c r="M351" s="489" t="s">
        <v>184</v>
      </c>
      <c r="N351" s="489"/>
      <c r="O351" s="489"/>
      <c r="P351" s="20"/>
      <c r="Q351" s="20" t="s">
        <v>22</v>
      </c>
      <c r="R351" s="71">
        <f>J351*L351</f>
        <v>0</v>
      </c>
      <c r="S351" s="168"/>
      <c r="T351" s="7"/>
    </row>
    <row r="352" spans="1:20" s="169" customFormat="1" ht="15.75" hidden="1" customHeight="1">
      <c r="A352" s="23"/>
      <c r="B352" s="20"/>
      <c r="C352" s="32"/>
      <c r="D352" s="522"/>
      <c r="E352" s="104"/>
      <c r="F352" s="104"/>
      <c r="G352" s="205"/>
      <c r="H352" s="537"/>
      <c r="I352" s="20" t="s">
        <v>185</v>
      </c>
      <c r="J352" s="67">
        <v>100000</v>
      </c>
      <c r="K352" s="489" t="s">
        <v>20</v>
      </c>
      <c r="L352" s="489">
        <v>0</v>
      </c>
      <c r="M352" s="489" t="s">
        <v>175</v>
      </c>
      <c r="N352" s="489"/>
      <c r="O352" s="489"/>
      <c r="P352" s="20"/>
      <c r="Q352" s="20" t="s">
        <v>22</v>
      </c>
      <c r="R352" s="71">
        <f>J352*L352</f>
        <v>0</v>
      </c>
      <c r="S352" s="168"/>
      <c r="T352" s="7"/>
    </row>
    <row r="353" spans="1:20" s="169" customFormat="1" ht="15.75" hidden="1" customHeight="1">
      <c r="A353" s="23"/>
      <c r="B353" s="20"/>
      <c r="C353" s="32"/>
      <c r="D353" s="522"/>
      <c r="E353" s="104"/>
      <c r="F353" s="104"/>
      <c r="G353" s="205"/>
      <c r="H353" s="537"/>
      <c r="I353" s="20" t="s">
        <v>687</v>
      </c>
      <c r="J353" s="67">
        <v>50000</v>
      </c>
      <c r="K353" s="489" t="s">
        <v>20</v>
      </c>
      <c r="L353" s="489">
        <v>0</v>
      </c>
      <c r="M353" s="489" t="s">
        <v>175</v>
      </c>
      <c r="N353" s="489"/>
      <c r="O353" s="489"/>
      <c r="P353" s="20"/>
      <c r="Q353" s="20" t="s">
        <v>22</v>
      </c>
      <c r="R353" s="71">
        <f>J353*L353</f>
        <v>0</v>
      </c>
      <c r="S353" s="168"/>
      <c r="T353" s="7"/>
    </row>
    <row r="354" spans="1:20" s="169" customFormat="1" ht="15.75" hidden="1" customHeight="1">
      <c r="A354" s="23"/>
      <c r="B354" s="20"/>
      <c r="C354" s="32"/>
      <c r="D354" s="522"/>
      <c r="E354" s="104"/>
      <c r="F354" s="104"/>
      <c r="G354" s="205"/>
      <c r="H354" s="537"/>
      <c r="I354" s="20" t="s">
        <v>186</v>
      </c>
      <c r="J354" s="67">
        <v>20000</v>
      </c>
      <c r="K354" s="489" t="s">
        <v>20</v>
      </c>
      <c r="L354" s="489">
        <v>0</v>
      </c>
      <c r="M354" s="489" t="s">
        <v>180</v>
      </c>
      <c r="N354" s="489"/>
      <c r="O354" s="489"/>
      <c r="P354" s="20"/>
      <c r="Q354" s="20" t="s">
        <v>22</v>
      </c>
      <c r="R354" s="71">
        <f>J354*L354</f>
        <v>0</v>
      </c>
      <c r="S354" s="168"/>
      <c r="T354" s="7"/>
    </row>
    <row r="355" spans="1:20" s="169" customFormat="1" ht="15.75" customHeight="1">
      <c r="A355" s="23"/>
      <c r="B355" s="20"/>
      <c r="C355" s="32"/>
      <c r="D355" s="522"/>
      <c r="E355" s="104"/>
      <c r="F355" s="104"/>
      <c r="G355" s="205"/>
      <c r="H355" s="537"/>
      <c r="I355" s="20"/>
      <c r="J355" s="67"/>
      <c r="K355" s="489"/>
      <c r="L355" s="489"/>
      <c r="M355" s="489"/>
      <c r="N355" s="489"/>
      <c r="O355" s="489"/>
      <c r="P355" s="20"/>
      <c r="Q355" s="20"/>
      <c r="R355" s="71"/>
      <c r="S355" s="168"/>
      <c r="T355" s="7"/>
    </row>
    <row r="356" spans="1:20" s="169" customFormat="1" ht="12">
      <c r="A356" s="23"/>
      <c r="B356" s="20"/>
      <c r="C356" s="32"/>
      <c r="D356" s="522"/>
      <c r="E356" s="104"/>
      <c r="F356" s="104"/>
      <c r="G356" s="205"/>
      <c r="H356" s="537"/>
      <c r="I356" s="20"/>
      <c r="J356" s="67"/>
      <c r="K356" s="489"/>
      <c r="L356" s="489"/>
      <c r="M356" s="489"/>
      <c r="N356" s="489"/>
      <c r="O356" s="489"/>
      <c r="P356" s="20"/>
      <c r="Q356" s="20"/>
      <c r="R356" s="71"/>
      <c r="S356" s="168"/>
      <c r="T356" s="7"/>
    </row>
    <row r="357" spans="1:20" s="169" customFormat="1" ht="15.75" customHeight="1">
      <c r="A357" s="23"/>
      <c r="B357" s="20"/>
      <c r="C357" s="32"/>
      <c r="D357" s="522"/>
      <c r="E357" s="104"/>
      <c r="F357" s="104"/>
      <c r="G357" s="205"/>
      <c r="H357" s="537"/>
      <c r="I357" s="690" t="s">
        <v>189</v>
      </c>
      <c r="J357" s="67"/>
      <c r="K357" s="489"/>
      <c r="L357" s="489"/>
      <c r="M357" s="489"/>
      <c r="N357" s="489"/>
      <c r="O357" s="489"/>
      <c r="P357" s="20"/>
      <c r="Q357" s="20"/>
      <c r="R357" s="71">
        <f>R358+R361+R362+R365+R366+R367</f>
        <v>3200000</v>
      </c>
      <c r="S357" s="168"/>
      <c r="T357" s="7"/>
    </row>
    <row r="358" spans="1:20" s="169" customFormat="1" ht="15.75" customHeight="1">
      <c r="A358" s="23"/>
      <c r="B358" s="20"/>
      <c r="C358" s="32"/>
      <c r="D358" s="522"/>
      <c r="E358" s="104"/>
      <c r="F358" s="104"/>
      <c r="G358" s="205"/>
      <c r="H358" s="537"/>
      <c r="I358" s="112" t="s">
        <v>190</v>
      </c>
      <c r="J358" s="206"/>
      <c r="K358" s="177"/>
      <c r="L358" s="177"/>
      <c r="M358" s="177"/>
      <c r="N358" s="177"/>
      <c r="O358" s="177"/>
      <c r="P358" s="112"/>
      <c r="Q358" s="112"/>
      <c r="R358" s="136">
        <f>SUM(R359:R360)</f>
        <v>3200000</v>
      </c>
      <c r="S358" s="168"/>
      <c r="T358" s="7"/>
    </row>
    <row r="359" spans="1:20" s="169" customFormat="1" ht="15.75" customHeight="1">
      <c r="A359" s="23"/>
      <c r="B359" s="20"/>
      <c r="C359" s="32"/>
      <c r="D359" s="522"/>
      <c r="E359" s="104"/>
      <c r="F359" s="104"/>
      <c r="G359" s="205"/>
      <c r="H359" s="537"/>
      <c r="I359" s="112" t="s">
        <v>191</v>
      </c>
      <c r="J359" s="207">
        <v>35000</v>
      </c>
      <c r="K359" s="177" t="s">
        <v>20</v>
      </c>
      <c r="L359" s="177">
        <v>35</v>
      </c>
      <c r="M359" s="177" t="s">
        <v>175</v>
      </c>
      <c r="N359" s="177" t="s">
        <v>992</v>
      </c>
      <c r="O359" s="177">
        <v>2</v>
      </c>
      <c r="P359" s="112" t="s">
        <v>993</v>
      </c>
      <c r="Q359" s="112" t="s">
        <v>22</v>
      </c>
      <c r="R359" s="136">
        <f>J359*L359*O359</f>
        <v>2450000</v>
      </c>
      <c r="S359" s="168"/>
      <c r="T359" s="7"/>
    </row>
    <row r="360" spans="1:20" s="169" customFormat="1" ht="15.75" customHeight="1">
      <c r="A360" s="23"/>
      <c r="B360" s="20"/>
      <c r="C360" s="32"/>
      <c r="D360" s="522"/>
      <c r="E360" s="104"/>
      <c r="F360" s="104"/>
      <c r="G360" s="205"/>
      <c r="H360" s="537"/>
      <c r="I360" s="112" t="s">
        <v>192</v>
      </c>
      <c r="J360" s="207">
        <v>25000</v>
      </c>
      <c r="K360" s="177" t="s">
        <v>20</v>
      </c>
      <c r="L360" s="177">
        <v>15</v>
      </c>
      <c r="M360" s="177" t="s">
        <v>175</v>
      </c>
      <c r="N360" s="177" t="s">
        <v>994</v>
      </c>
      <c r="O360" s="177">
        <v>2</v>
      </c>
      <c r="P360" s="112" t="s">
        <v>993</v>
      </c>
      <c r="Q360" s="112" t="s">
        <v>22</v>
      </c>
      <c r="R360" s="136">
        <f>J360*L360*O360</f>
        <v>750000</v>
      </c>
      <c r="S360" s="168"/>
      <c r="T360" s="7"/>
    </row>
    <row r="361" spans="1:20" s="169" customFormat="1" ht="15.75" hidden="1" customHeight="1">
      <c r="A361" s="23"/>
      <c r="B361" s="20"/>
      <c r="C361" s="32"/>
      <c r="D361" s="522"/>
      <c r="E361" s="104"/>
      <c r="F361" s="104"/>
      <c r="G361" s="205"/>
      <c r="H361" s="537"/>
      <c r="I361" s="20" t="s">
        <v>688</v>
      </c>
      <c r="J361" s="67">
        <v>0</v>
      </c>
      <c r="K361" s="489" t="s">
        <v>20</v>
      </c>
      <c r="L361" s="489">
        <v>4</v>
      </c>
      <c r="M361" s="489" t="s">
        <v>175</v>
      </c>
      <c r="N361" s="489"/>
      <c r="O361" s="489"/>
      <c r="P361" s="20"/>
      <c r="Q361" s="20" t="s">
        <v>22</v>
      </c>
      <c r="R361" s="71">
        <f>J361*L361</f>
        <v>0</v>
      </c>
      <c r="S361" s="168"/>
      <c r="T361" s="7"/>
    </row>
    <row r="362" spans="1:20" s="169" customFormat="1" ht="15.75" hidden="1" customHeight="1">
      <c r="A362" s="23"/>
      <c r="B362" s="20"/>
      <c r="C362" s="32"/>
      <c r="D362" s="522"/>
      <c r="E362" s="104"/>
      <c r="F362" s="104"/>
      <c r="G362" s="205"/>
      <c r="H362" s="537"/>
      <c r="I362" s="20" t="s">
        <v>193</v>
      </c>
      <c r="J362" s="67"/>
      <c r="K362" s="489"/>
      <c r="L362" s="489"/>
      <c r="M362" s="489"/>
      <c r="N362" s="489"/>
      <c r="O362" s="489"/>
      <c r="P362" s="20"/>
      <c r="Q362" s="20"/>
      <c r="R362" s="71">
        <f>SUM(R363:R364)</f>
        <v>0</v>
      </c>
      <c r="S362" s="168"/>
      <c r="T362" s="7"/>
    </row>
    <row r="363" spans="1:20" s="169" customFormat="1" ht="15.75" hidden="1" customHeight="1">
      <c r="A363" s="23"/>
      <c r="B363" s="20"/>
      <c r="C363" s="32"/>
      <c r="D363" s="522"/>
      <c r="E363" s="104"/>
      <c r="F363" s="104"/>
      <c r="G363" s="205"/>
      <c r="H363" s="537"/>
      <c r="I363" s="20" t="s">
        <v>194</v>
      </c>
      <c r="J363" s="67">
        <v>0</v>
      </c>
      <c r="K363" s="489" t="s">
        <v>20</v>
      </c>
      <c r="L363" s="489">
        <v>23</v>
      </c>
      <c r="M363" s="489" t="s">
        <v>188</v>
      </c>
      <c r="N363" s="489" t="s">
        <v>20</v>
      </c>
      <c r="O363" s="489">
        <v>3</v>
      </c>
      <c r="P363" s="20" t="s">
        <v>175</v>
      </c>
      <c r="Q363" s="20" t="s">
        <v>22</v>
      </c>
      <c r="R363" s="71">
        <f>J363*L363*O363</f>
        <v>0</v>
      </c>
      <c r="S363" s="168"/>
      <c r="T363" s="7"/>
    </row>
    <row r="364" spans="1:20" s="169" customFormat="1" ht="15.75" hidden="1" customHeight="1">
      <c r="A364" s="23"/>
      <c r="B364" s="20"/>
      <c r="C364" s="32"/>
      <c r="D364" s="522"/>
      <c r="E364" s="104"/>
      <c r="F364" s="104"/>
      <c r="G364" s="205"/>
      <c r="H364" s="537"/>
      <c r="I364" s="20" t="s">
        <v>195</v>
      </c>
      <c r="J364" s="67">
        <v>0</v>
      </c>
      <c r="K364" s="489" t="s">
        <v>20</v>
      </c>
      <c r="L364" s="489">
        <v>23</v>
      </c>
      <c r="M364" s="489" t="s">
        <v>188</v>
      </c>
      <c r="N364" s="489" t="s">
        <v>20</v>
      </c>
      <c r="O364" s="489">
        <v>3</v>
      </c>
      <c r="P364" s="20" t="s">
        <v>175</v>
      </c>
      <c r="Q364" s="20" t="s">
        <v>22</v>
      </c>
      <c r="R364" s="71">
        <f>J364*L364*O364</f>
        <v>0</v>
      </c>
      <c r="S364" s="168"/>
      <c r="T364" s="7"/>
    </row>
    <row r="365" spans="1:20" s="169" customFormat="1" ht="15.75" hidden="1" customHeight="1">
      <c r="A365" s="23"/>
      <c r="B365" s="20"/>
      <c r="C365" s="32"/>
      <c r="D365" s="522"/>
      <c r="E365" s="104"/>
      <c r="F365" s="104"/>
      <c r="G365" s="205"/>
      <c r="H365" s="537"/>
      <c r="I365" s="20" t="s">
        <v>196</v>
      </c>
      <c r="J365" s="67">
        <v>100000</v>
      </c>
      <c r="K365" s="489" t="s">
        <v>20</v>
      </c>
      <c r="L365" s="489">
        <v>0</v>
      </c>
      <c r="M365" s="489" t="s">
        <v>175</v>
      </c>
      <c r="N365" s="489"/>
      <c r="O365" s="489"/>
      <c r="P365" s="20"/>
      <c r="Q365" s="27" t="s">
        <v>22</v>
      </c>
      <c r="R365" s="71">
        <f>J365*L365</f>
        <v>0</v>
      </c>
      <c r="S365" s="168"/>
      <c r="T365" s="7"/>
    </row>
    <row r="366" spans="1:20" s="169" customFormat="1" ht="15.75" hidden="1" customHeight="1">
      <c r="A366" s="23"/>
      <c r="B366" s="20"/>
      <c r="C366" s="32"/>
      <c r="D366" s="522"/>
      <c r="E366" s="104"/>
      <c r="F366" s="104"/>
      <c r="G366" s="205"/>
      <c r="H366" s="537"/>
      <c r="I366" s="20" t="s">
        <v>741</v>
      </c>
      <c r="J366" s="67">
        <v>0</v>
      </c>
      <c r="K366" s="489" t="s">
        <v>20</v>
      </c>
      <c r="L366" s="489">
        <v>2</v>
      </c>
      <c r="M366" s="489" t="s">
        <v>178</v>
      </c>
      <c r="N366" s="489"/>
      <c r="O366" s="489"/>
      <c r="P366" s="20"/>
      <c r="Q366" s="27" t="s">
        <v>22</v>
      </c>
      <c r="R366" s="71"/>
      <c r="S366" s="168"/>
      <c r="T366" s="7"/>
    </row>
    <row r="367" spans="1:20" s="169" customFormat="1" ht="15.75" hidden="1" customHeight="1">
      <c r="A367" s="23"/>
      <c r="B367" s="20"/>
      <c r="C367" s="32"/>
      <c r="D367" s="522"/>
      <c r="E367" s="104"/>
      <c r="F367" s="104"/>
      <c r="G367" s="205"/>
      <c r="H367" s="537"/>
      <c r="I367" s="20" t="s">
        <v>202</v>
      </c>
      <c r="J367" s="67"/>
      <c r="K367" s="489"/>
      <c r="L367" s="489"/>
      <c r="M367" s="489"/>
      <c r="N367" s="489"/>
      <c r="O367" s="489"/>
      <c r="P367" s="20"/>
      <c r="Q367" s="20"/>
      <c r="R367" s="71"/>
      <c r="S367" s="168"/>
      <c r="T367" s="7"/>
    </row>
    <row r="368" spans="1:20" s="169" customFormat="1" ht="15.75" hidden="1" customHeight="1">
      <c r="A368" s="23"/>
      <c r="B368" s="20"/>
      <c r="C368" s="32"/>
      <c r="D368" s="522"/>
      <c r="E368" s="104"/>
      <c r="F368" s="104"/>
      <c r="G368" s="205"/>
      <c r="H368" s="537"/>
      <c r="I368" s="20" t="s">
        <v>197</v>
      </c>
      <c r="J368" s="67"/>
      <c r="K368" s="489"/>
      <c r="L368" s="489"/>
      <c r="M368" s="489"/>
      <c r="N368" s="489"/>
      <c r="O368" s="489"/>
      <c r="P368" s="20"/>
      <c r="Q368" s="20"/>
      <c r="R368" s="71">
        <f>SUM(R369,R372,R373,R378,R379,R380)</f>
        <v>0</v>
      </c>
      <c r="S368" s="168"/>
      <c r="T368" s="7"/>
    </row>
    <row r="369" spans="1:20" s="169" customFormat="1" ht="15.75" hidden="1" customHeight="1">
      <c r="A369" s="23"/>
      <c r="B369" s="20"/>
      <c r="C369" s="32"/>
      <c r="D369" s="522"/>
      <c r="E369" s="104"/>
      <c r="F369" s="104"/>
      <c r="G369" s="205"/>
      <c r="H369" s="537"/>
      <c r="I369" s="20" t="s">
        <v>190</v>
      </c>
      <c r="J369" s="67"/>
      <c r="K369" s="489"/>
      <c r="L369" s="489"/>
      <c r="M369" s="489"/>
      <c r="N369" s="489"/>
      <c r="O369" s="489"/>
      <c r="P369" s="20"/>
      <c r="Q369" s="20"/>
      <c r="R369" s="104">
        <f>SUM(R370:R371)</f>
        <v>0</v>
      </c>
      <c r="S369" s="168"/>
      <c r="T369" s="7"/>
    </row>
    <row r="370" spans="1:20" s="169" customFormat="1" ht="15.75" hidden="1" customHeight="1">
      <c r="A370" s="23"/>
      <c r="B370" s="20"/>
      <c r="C370" s="32"/>
      <c r="D370" s="522"/>
      <c r="E370" s="104"/>
      <c r="F370" s="104"/>
      <c r="G370" s="205"/>
      <c r="H370" s="537"/>
      <c r="I370" s="20" t="s">
        <v>191</v>
      </c>
      <c r="J370" s="157">
        <v>80000</v>
      </c>
      <c r="K370" s="489" t="s">
        <v>20</v>
      </c>
      <c r="L370" s="489">
        <v>0</v>
      </c>
      <c r="M370" s="489" t="s">
        <v>175</v>
      </c>
      <c r="N370" s="489"/>
      <c r="O370" s="489"/>
      <c r="P370" s="20"/>
      <c r="Q370" s="20" t="s">
        <v>22</v>
      </c>
      <c r="R370" s="104">
        <f>J370*L370</f>
        <v>0</v>
      </c>
      <c r="S370" s="168"/>
      <c r="T370" s="7"/>
    </row>
    <row r="371" spans="1:20" s="169" customFormat="1" ht="15.75" hidden="1" customHeight="1">
      <c r="A371" s="23"/>
      <c r="B371" s="20"/>
      <c r="C371" s="32"/>
      <c r="D371" s="522"/>
      <c r="E371" s="104"/>
      <c r="F371" s="104"/>
      <c r="G371" s="205"/>
      <c r="H371" s="537"/>
      <c r="I371" s="20" t="s">
        <v>192</v>
      </c>
      <c r="J371" s="157">
        <v>40000</v>
      </c>
      <c r="K371" s="489" t="s">
        <v>20</v>
      </c>
      <c r="L371" s="489">
        <v>0</v>
      </c>
      <c r="M371" s="489" t="s">
        <v>175</v>
      </c>
      <c r="N371" s="489"/>
      <c r="O371" s="489"/>
      <c r="P371" s="20"/>
      <c r="Q371" s="20" t="s">
        <v>22</v>
      </c>
      <c r="R371" s="104">
        <f>J371*L371</f>
        <v>0</v>
      </c>
      <c r="S371" s="168"/>
      <c r="T371" s="7"/>
    </row>
    <row r="372" spans="1:20" s="169" customFormat="1" ht="15.75" hidden="1" customHeight="1">
      <c r="A372" s="23"/>
      <c r="B372" s="20"/>
      <c r="C372" s="32"/>
      <c r="D372" s="522"/>
      <c r="E372" s="104"/>
      <c r="F372" s="104"/>
      <c r="G372" s="205"/>
      <c r="H372" s="537"/>
      <c r="I372" s="20" t="s">
        <v>198</v>
      </c>
      <c r="J372" s="67">
        <v>50000</v>
      </c>
      <c r="K372" s="489" t="s">
        <v>20</v>
      </c>
      <c r="L372" s="489">
        <v>0</v>
      </c>
      <c r="M372" s="489" t="s">
        <v>175</v>
      </c>
      <c r="N372" s="489"/>
      <c r="O372" s="489"/>
      <c r="P372" s="20"/>
      <c r="Q372" s="20" t="s">
        <v>22</v>
      </c>
      <c r="R372" s="71">
        <f>J372*L372</f>
        <v>0</v>
      </c>
      <c r="S372" s="168"/>
      <c r="T372" s="7"/>
    </row>
    <row r="373" spans="1:20" s="169" customFormat="1" ht="15.75" hidden="1" customHeight="1">
      <c r="A373" s="23"/>
      <c r="B373" s="20"/>
      <c r="C373" s="32"/>
      <c r="D373" s="522"/>
      <c r="E373" s="104"/>
      <c r="F373" s="104"/>
      <c r="G373" s="205"/>
      <c r="H373" s="537"/>
      <c r="I373" s="20" t="s">
        <v>193</v>
      </c>
      <c r="J373" s="67"/>
      <c r="K373" s="489"/>
      <c r="L373" s="489"/>
      <c r="M373" s="489"/>
      <c r="N373" s="489"/>
      <c r="O373" s="489"/>
      <c r="P373" s="20"/>
      <c r="Q373" s="20"/>
      <c r="R373" s="71">
        <f>SUM(R374:R377)</f>
        <v>0</v>
      </c>
      <c r="S373" s="168"/>
      <c r="T373" s="7"/>
    </row>
    <row r="374" spans="1:20" s="169" customFormat="1" ht="15.75" hidden="1" customHeight="1">
      <c r="A374" s="23"/>
      <c r="B374" s="20"/>
      <c r="C374" s="32"/>
      <c r="D374" s="522"/>
      <c r="E374" s="104"/>
      <c r="F374" s="104"/>
      <c r="G374" s="205"/>
      <c r="H374" s="537"/>
      <c r="I374" s="20" t="s">
        <v>194</v>
      </c>
      <c r="J374" s="67">
        <v>8000</v>
      </c>
      <c r="K374" s="489" t="s">
        <v>20</v>
      </c>
      <c r="L374" s="489">
        <v>0</v>
      </c>
      <c r="M374" s="489" t="s">
        <v>188</v>
      </c>
      <c r="N374" s="489"/>
      <c r="O374" s="489"/>
      <c r="P374" s="20"/>
      <c r="Q374" s="20" t="s">
        <v>22</v>
      </c>
      <c r="R374" s="71">
        <f t="shared" ref="R374:R379" si="12">J374*L374</f>
        <v>0</v>
      </c>
      <c r="S374" s="168"/>
      <c r="T374" s="7"/>
    </row>
    <row r="375" spans="1:20" s="169" customFormat="1" ht="15.75" hidden="1" customHeight="1">
      <c r="A375" s="23"/>
      <c r="B375" s="20"/>
      <c r="C375" s="32"/>
      <c r="D375" s="522"/>
      <c r="E375" s="104"/>
      <c r="F375" s="104"/>
      <c r="G375" s="205"/>
      <c r="H375" s="537"/>
      <c r="I375" s="20" t="s">
        <v>195</v>
      </c>
      <c r="J375" s="67">
        <v>2000</v>
      </c>
      <c r="K375" s="489" t="s">
        <v>20</v>
      </c>
      <c r="L375" s="489">
        <v>0</v>
      </c>
      <c r="M375" s="489" t="s">
        <v>188</v>
      </c>
      <c r="N375" s="489"/>
      <c r="O375" s="489"/>
      <c r="P375" s="20"/>
      <c r="Q375" s="20" t="s">
        <v>22</v>
      </c>
      <c r="R375" s="71">
        <f t="shared" si="12"/>
        <v>0</v>
      </c>
      <c r="S375" s="168"/>
      <c r="T375" s="7"/>
    </row>
    <row r="376" spans="1:20" s="169" customFormat="1" ht="15.75" hidden="1" customHeight="1">
      <c r="A376" s="23"/>
      <c r="B376" s="20"/>
      <c r="C376" s="32"/>
      <c r="D376" s="522"/>
      <c r="E376" s="104"/>
      <c r="F376" s="104"/>
      <c r="G376" s="205"/>
      <c r="H376" s="537"/>
      <c r="I376" s="20" t="s">
        <v>199</v>
      </c>
      <c r="J376" s="67">
        <v>80000</v>
      </c>
      <c r="K376" s="489" t="s">
        <v>20</v>
      </c>
      <c r="L376" s="489">
        <v>0</v>
      </c>
      <c r="M376" s="489" t="s">
        <v>175</v>
      </c>
      <c r="N376" s="489"/>
      <c r="O376" s="489"/>
      <c r="P376" s="20"/>
      <c r="Q376" s="20" t="s">
        <v>22</v>
      </c>
      <c r="R376" s="71">
        <f t="shared" si="12"/>
        <v>0</v>
      </c>
      <c r="S376" s="168"/>
      <c r="T376" s="7"/>
    </row>
    <row r="377" spans="1:20" s="169" customFormat="1" ht="15.75" hidden="1" customHeight="1">
      <c r="A377" s="23"/>
      <c r="B377" s="20"/>
      <c r="C377" s="32"/>
      <c r="D377" s="522"/>
      <c r="E377" s="104"/>
      <c r="F377" s="104"/>
      <c r="G377" s="205"/>
      <c r="H377" s="537"/>
      <c r="I377" s="20" t="s">
        <v>200</v>
      </c>
      <c r="J377" s="67">
        <v>40000</v>
      </c>
      <c r="K377" s="489" t="s">
        <v>20</v>
      </c>
      <c r="L377" s="489">
        <v>0</v>
      </c>
      <c r="M377" s="489" t="s">
        <v>175</v>
      </c>
      <c r="N377" s="489"/>
      <c r="O377" s="489"/>
      <c r="P377" s="20"/>
      <c r="Q377" s="20"/>
      <c r="R377" s="71">
        <f t="shared" si="12"/>
        <v>0</v>
      </c>
      <c r="S377" s="168"/>
      <c r="T377" s="7"/>
    </row>
    <row r="378" spans="1:20" s="169" customFormat="1" ht="15.75" hidden="1" customHeight="1">
      <c r="A378" s="23"/>
      <c r="B378" s="20"/>
      <c r="C378" s="32"/>
      <c r="D378" s="522"/>
      <c r="E378" s="104"/>
      <c r="F378" s="104"/>
      <c r="G378" s="205"/>
      <c r="H378" s="537"/>
      <c r="I378" s="208" t="s">
        <v>201</v>
      </c>
      <c r="J378" s="67">
        <v>140000</v>
      </c>
      <c r="K378" s="489" t="s">
        <v>20</v>
      </c>
      <c r="L378" s="489">
        <v>0</v>
      </c>
      <c r="M378" s="489" t="s">
        <v>178</v>
      </c>
      <c r="N378" s="489"/>
      <c r="O378" s="489"/>
      <c r="P378" s="20"/>
      <c r="Q378" s="20"/>
      <c r="R378" s="71">
        <f t="shared" si="12"/>
        <v>0</v>
      </c>
      <c r="S378" s="168"/>
      <c r="T378" s="7"/>
    </row>
    <row r="379" spans="1:20" s="169" customFormat="1" ht="15.75" hidden="1" customHeight="1">
      <c r="A379" s="23"/>
      <c r="B379" s="20"/>
      <c r="C379" s="32"/>
      <c r="D379" s="522"/>
      <c r="E379" s="104"/>
      <c r="F379" s="104"/>
      <c r="G379" s="205"/>
      <c r="H379" s="537"/>
      <c r="I379" s="20" t="s">
        <v>202</v>
      </c>
      <c r="J379" s="67">
        <v>10000</v>
      </c>
      <c r="K379" s="489" t="s">
        <v>20</v>
      </c>
      <c r="L379" s="489">
        <v>0</v>
      </c>
      <c r="M379" s="489" t="s">
        <v>188</v>
      </c>
      <c r="N379" s="489"/>
      <c r="O379" s="489"/>
      <c r="P379" s="20"/>
      <c r="Q379" s="20"/>
      <c r="R379" s="71">
        <f t="shared" si="12"/>
        <v>0</v>
      </c>
      <c r="S379" s="168"/>
      <c r="T379" s="7"/>
    </row>
    <row r="380" spans="1:20" s="169" customFormat="1" ht="15.75" hidden="1" customHeight="1">
      <c r="A380" s="23"/>
      <c r="B380" s="20"/>
      <c r="C380" s="32"/>
      <c r="D380" s="522"/>
      <c r="E380" s="104"/>
      <c r="F380" s="104"/>
      <c r="G380" s="205"/>
      <c r="H380" s="537"/>
      <c r="I380" s="20" t="s">
        <v>203</v>
      </c>
      <c r="J380" s="67">
        <v>20000</v>
      </c>
      <c r="K380" s="489" t="s">
        <v>20</v>
      </c>
      <c r="L380" s="489">
        <v>0</v>
      </c>
      <c r="M380" s="489" t="s">
        <v>175</v>
      </c>
      <c r="N380" s="489"/>
      <c r="O380" s="489"/>
      <c r="P380" s="20"/>
      <c r="Q380" s="20" t="s">
        <v>22</v>
      </c>
      <c r="R380" s="71">
        <f>J380*L380</f>
        <v>0</v>
      </c>
      <c r="S380" s="168"/>
      <c r="T380" s="7"/>
    </row>
    <row r="381" spans="1:20" s="169" customFormat="1" ht="15.75" customHeight="1">
      <c r="A381" s="23"/>
      <c r="B381" s="20"/>
      <c r="C381" s="32"/>
      <c r="D381" s="522"/>
      <c r="E381" s="104"/>
      <c r="F381" s="104"/>
      <c r="G381" s="205"/>
      <c r="H381" s="537"/>
      <c r="I381" s="20"/>
      <c r="J381" s="209"/>
      <c r="K381" s="209"/>
      <c r="L381" s="209"/>
      <c r="M381" s="209"/>
      <c r="N381" s="209"/>
      <c r="O381" s="209"/>
      <c r="P381" s="209"/>
      <c r="Q381" s="20"/>
      <c r="R381" s="71"/>
      <c r="S381" s="168"/>
      <c r="T381" s="7"/>
    </row>
    <row r="382" spans="1:20" s="169" customFormat="1" ht="15" customHeight="1">
      <c r="A382" s="23"/>
      <c r="B382" s="35"/>
      <c r="C382" s="32"/>
      <c r="D382" s="495"/>
      <c r="E382" s="187"/>
      <c r="F382" s="187"/>
      <c r="G382" s="210"/>
      <c r="H382" s="488"/>
      <c r="I382" s="18"/>
      <c r="J382" s="189"/>
      <c r="K382" s="534"/>
      <c r="L382" s="534"/>
      <c r="M382" s="534"/>
      <c r="N382" s="534"/>
      <c r="O382" s="534"/>
      <c r="P382" s="18"/>
      <c r="Q382" s="18" t="s">
        <v>204</v>
      </c>
      <c r="R382" s="170">
        <f>SUM(R338,R346,R357)</f>
        <v>7820000</v>
      </c>
      <c r="S382" s="168">
        <f>R339+R358</f>
        <v>6560000</v>
      </c>
      <c r="T382" s="7">
        <f>R382-S382</f>
        <v>1260000</v>
      </c>
    </row>
    <row r="383" spans="1:20" s="169" customFormat="1" ht="15" customHeight="1">
      <c r="A383" s="23"/>
      <c r="B383" s="22"/>
      <c r="C383" s="88"/>
      <c r="D383" s="948" t="s">
        <v>205</v>
      </c>
      <c r="E383" s="923">
        <v>0</v>
      </c>
      <c r="F383" s="923">
        <v>0</v>
      </c>
      <c r="G383" s="933">
        <f>F383+F385-E383-E385</f>
        <v>-2308</v>
      </c>
      <c r="H383" s="951">
        <f>G383/(E383+E385)</f>
        <v>-1</v>
      </c>
      <c r="I383" s="106"/>
      <c r="J383" s="107"/>
      <c r="K383" s="28"/>
      <c r="L383" s="28"/>
      <c r="M383" s="28"/>
      <c r="N383" s="28"/>
      <c r="O383" s="28"/>
      <c r="P383" s="28"/>
      <c r="Q383" s="28"/>
      <c r="R383" s="167"/>
      <c r="S383" s="168"/>
      <c r="T383" s="7"/>
    </row>
    <row r="384" spans="1:20" s="169" customFormat="1" ht="15" customHeight="1">
      <c r="A384" s="23"/>
      <c r="B384" s="22"/>
      <c r="C384" s="23"/>
      <c r="D384" s="949"/>
      <c r="E384" s="918"/>
      <c r="F384" s="918"/>
      <c r="G384" s="935"/>
      <c r="H384" s="952"/>
      <c r="I384" s="20"/>
      <c r="J384" s="211"/>
      <c r="K384" s="202"/>
      <c r="L384" s="532"/>
      <c r="M384" s="532"/>
      <c r="N384" s="532"/>
      <c r="O384" s="532"/>
      <c r="P384" s="532"/>
      <c r="Q384" s="489"/>
      <c r="R384" s="203"/>
      <c r="S384" s="168"/>
      <c r="T384" s="7"/>
    </row>
    <row r="385" spans="1:20" s="169" customFormat="1" ht="15" customHeight="1">
      <c r="A385" s="23"/>
      <c r="B385" s="22"/>
      <c r="C385" s="23"/>
      <c r="D385" s="949"/>
      <c r="E385" s="925">
        <v>2308</v>
      </c>
      <c r="F385" s="925">
        <v>0</v>
      </c>
      <c r="G385" s="935"/>
      <c r="H385" s="952"/>
      <c r="I385" s="20"/>
      <c r="J385" s="157"/>
      <c r="K385" s="202"/>
      <c r="L385" s="532"/>
      <c r="M385" s="532"/>
      <c r="N385" s="532"/>
      <c r="O385" s="532"/>
      <c r="P385" s="532"/>
      <c r="Q385" s="489"/>
      <c r="R385" s="203"/>
      <c r="S385" s="168"/>
      <c r="T385" s="7"/>
    </row>
    <row r="386" spans="1:20" s="169" customFormat="1" ht="15.75" customHeight="1">
      <c r="A386" s="497"/>
      <c r="B386" s="16"/>
      <c r="C386" s="495"/>
      <c r="D386" s="950"/>
      <c r="E386" s="932"/>
      <c r="F386" s="932"/>
      <c r="G386" s="934"/>
      <c r="H386" s="953"/>
      <c r="I386" s="16"/>
      <c r="J386" s="212"/>
      <c r="K386" s="534"/>
      <c r="L386" s="534"/>
      <c r="M386" s="534"/>
      <c r="N386" s="534"/>
      <c r="O386" s="534"/>
      <c r="P386" s="18"/>
      <c r="Q386" s="18"/>
      <c r="R386" s="213"/>
      <c r="S386" s="168"/>
      <c r="T386" s="7"/>
    </row>
    <row r="387" spans="1:20" s="169" customFormat="1" ht="15" customHeight="1">
      <c r="A387" s="23"/>
      <c r="B387" s="22"/>
      <c r="C387" s="88"/>
      <c r="D387" s="948" t="s">
        <v>1011</v>
      </c>
      <c r="E387" s="923">
        <v>0</v>
      </c>
      <c r="F387" s="923">
        <v>0</v>
      </c>
      <c r="G387" s="933">
        <f>F387+F389-E387-E389</f>
        <v>-1398</v>
      </c>
      <c r="H387" s="951">
        <f>G387/(E387+E389)</f>
        <v>-1</v>
      </c>
      <c r="I387" s="106"/>
      <c r="J387" s="107"/>
      <c r="K387" s="28"/>
      <c r="L387" s="28"/>
      <c r="M387" s="28"/>
      <c r="N387" s="28"/>
      <c r="O387" s="28"/>
      <c r="P387" s="28"/>
      <c r="Q387" s="28"/>
      <c r="R387" s="167"/>
      <c r="S387" s="168"/>
      <c r="T387" s="7"/>
    </row>
    <row r="388" spans="1:20" s="169" customFormat="1" ht="15" customHeight="1">
      <c r="A388" s="23"/>
      <c r="B388" s="22"/>
      <c r="C388" s="23"/>
      <c r="D388" s="949"/>
      <c r="E388" s="918"/>
      <c r="F388" s="918"/>
      <c r="G388" s="935"/>
      <c r="H388" s="952"/>
      <c r="I388" s="20"/>
      <c r="J388" s="211"/>
      <c r="K388" s="202"/>
      <c r="L388" s="532"/>
      <c r="M388" s="532"/>
      <c r="N388" s="532"/>
      <c r="O388" s="532"/>
      <c r="P388" s="532"/>
      <c r="Q388" s="489"/>
      <c r="R388" s="203"/>
      <c r="S388" s="168"/>
      <c r="T388" s="7"/>
    </row>
    <row r="389" spans="1:20" s="169" customFormat="1" ht="15" customHeight="1">
      <c r="A389" s="23"/>
      <c r="B389" s="22"/>
      <c r="C389" s="23"/>
      <c r="D389" s="949"/>
      <c r="E389" s="925">
        <v>1398</v>
      </c>
      <c r="F389" s="925">
        <v>0</v>
      </c>
      <c r="G389" s="935"/>
      <c r="H389" s="952"/>
      <c r="I389" s="20"/>
      <c r="J389" s="157"/>
      <c r="K389" s="202"/>
      <c r="L389" s="532"/>
      <c r="M389" s="532"/>
      <c r="N389" s="532"/>
      <c r="O389" s="532"/>
      <c r="P389" s="532"/>
      <c r="Q389" s="489"/>
      <c r="R389" s="203"/>
      <c r="S389" s="168"/>
      <c r="T389" s="7"/>
    </row>
    <row r="390" spans="1:20" s="169" customFormat="1" ht="15.75" customHeight="1">
      <c r="A390" s="497"/>
      <c r="B390" s="16"/>
      <c r="C390" s="495"/>
      <c r="D390" s="950"/>
      <c r="E390" s="932"/>
      <c r="F390" s="932"/>
      <c r="G390" s="934"/>
      <c r="H390" s="953"/>
      <c r="I390" s="16"/>
      <c r="J390" s="212"/>
      <c r="K390" s="534"/>
      <c r="L390" s="534"/>
      <c r="M390" s="534"/>
      <c r="N390" s="534"/>
      <c r="O390" s="534"/>
      <c r="P390" s="18"/>
      <c r="Q390" s="18"/>
      <c r="R390" s="213"/>
      <c r="S390" s="168"/>
      <c r="T390" s="7"/>
    </row>
    <row r="391" spans="1:20" s="169" customFormat="1" ht="15" hidden="1" customHeight="1">
      <c r="A391" s="23"/>
      <c r="B391" s="22"/>
      <c r="C391" s="88"/>
      <c r="D391" s="954"/>
      <c r="E391" s="923">
        <v>0</v>
      </c>
      <c r="F391" s="923">
        <v>0</v>
      </c>
      <c r="G391" s="933">
        <f>F391+F393-E391-E393</f>
        <v>0</v>
      </c>
      <c r="H391" s="951" t="e">
        <f>G391/(E391+E393)</f>
        <v>#DIV/0!</v>
      </c>
      <c r="I391" s="35" t="s">
        <v>740</v>
      </c>
      <c r="J391" s="180">
        <v>25000</v>
      </c>
      <c r="K391" s="489" t="s">
        <v>20</v>
      </c>
      <c r="L391" s="489">
        <v>1</v>
      </c>
      <c r="M391" s="489" t="s">
        <v>21</v>
      </c>
      <c r="N391" s="489" t="s">
        <v>20</v>
      </c>
      <c r="O391" s="489">
        <v>0</v>
      </c>
      <c r="P391" s="20" t="s">
        <v>500</v>
      </c>
      <c r="Q391" s="27" t="s">
        <v>22</v>
      </c>
      <c r="R391" s="98">
        <f>J391*L391*O391</f>
        <v>0</v>
      </c>
      <c r="S391" s="168"/>
      <c r="T391" s="7"/>
    </row>
    <row r="392" spans="1:20" s="169" customFormat="1" ht="15" hidden="1" customHeight="1">
      <c r="A392" s="23"/>
      <c r="B392" s="22"/>
      <c r="C392" s="23"/>
      <c r="D392" s="955"/>
      <c r="E392" s="918"/>
      <c r="F392" s="918"/>
      <c r="G392" s="935"/>
      <c r="H392" s="952"/>
      <c r="I392" s="35"/>
      <c r="J392" s="180"/>
      <c r="K392" s="489"/>
      <c r="L392" s="489"/>
      <c r="M392" s="489"/>
      <c r="N392" s="489"/>
      <c r="O392" s="489"/>
      <c r="P392" s="20"/>
      <c r="Q392" s="27"/>
      <c r="R392" s="98"/>
      <c r="S392" s="168"/>
      <c r="T392" s="7"/>
    </row>
    <row r="393" spans="1:20" s="169" customFormat="1" ht="15" hidden="1" customHeight="1">
      <c r="A393" s="23"/>
      <c r="B393" s="22"/>
      <c r="C393" s="23"/>
      <c r="D393" s="955"/>
      <c r="E393" s="925">
        <v>0</v>
      </c>
      <c r="F393" s="925">
        <f>T394/1000</f>
        <v>0</v>
      </c>
      <c r="G393" s="935"/>
      <c r="H393" s="952"/>
      <c r="I393" s="35"/>
      <c r="J393" s="180"/>
      <c r="K393" s="489"/>
      <c r="L393" s="489"/>
      <c r="M393" s="489"/>
      <c r="N393" s="489"/>
      <c r="O393" s="489"/>
      <c r="P393" s="27"/>
      <c r="Q393" s="27"/>
      <c r="R393" s="98"/>
      <c r="S393" s="168"/>
      <c r="T393" s="7"/>
    </row>
    <row r="394" spans="1:20" s="169" customFormat="1" ht="15.75" hidden="1" customHeight="1">
      <c r="A394" s="497"/>
      <c r="B394" s="16"/>
      <c r="C394" s="495"/>
      <c r="D394" s="956"/>
      <c r="E394" s="932"/>
      <c r="F394" s="932"/>
      <c r="G394" s="934"/>
      <c r="H394" s="953"/>
      <c r="I394" s="16"/>
      <c r="J394" s="212"/>
      <c r="K394" s="534"/>
      <c r="L394" s="534"/>
      <c r="M394" s="534"/>
      <c r="N394" s="534"/>
      <c r="O394" s="534"/>
      <c r="P394" s="18"/>
      <c r="Q394" s="18" t="s">
        <v>204</v>
      </c>
      <c r="R394" s="213">
        <f>R390+R391+R392</f>
        <v>0</v>
      </c>
      <c r="S394" s="168"/>
      <c r="T394" s="7"/>
    </row>
    <row r="395" spans="1:20" s="169" customFormat="1" ht="15.75" customHeight="1">
      <c r="A395" s="23"/>
      <c r="B395" s="20"/>
      <c r="C395" s="32"/>
      <c r="D395" s="954" t="s">
        <v>1051</v>
      </c>
      <c r="E395" s="957">
        <v>0</v>
      </c>
      <c r="F395" s="957">
        <v>0</v>
      </c>
      <c r="G395" s="933">
        <f>F395+F397-E395-E397</f>
        <v>-3128</v>
      </c>
      <c r="H395" s="951">
        <f>G395/(E395+E397)</f>
        <v>-1</v>
      </c>
      <c r="I395" s="35" t="s">
        <v>206</v>
      </c>
      <c r="J395" s="180">
        <v>1000000</v>
      </c>
      <c r="K395" s="489" t="s">
        <v>20</v>
      </c>
      <c r="L395" s="489">
        <v>0</v>
      </c>
      <c r="M395" s="489" t="s">
        <v>180</v>
      </c>
      <c r="N395" s="489"/>
      <c r="O395" s="489"/>
      <c r="P395" s="20"/>
      <c r="Q395" s="27" t="s">
        <v>22</v>
      </c>
      <c r="R395" s="98">
        <f>J395*L395</f>
        <v>0</v>
      </c>
      <c r="S395" s="168"/>
      <c r="T395" s="7"/>
    </row>
    <row r="396" spans="1:20" s="169" customFormat="1" ht="15.75" customHeight="1">
      <c r="A396" s="23"/>
      <c r="B396" s="20"/>
      <c r="C396" s="32"/>
      <c r="D396" s="955"/>
      <c r="E396" s="958"/>
      <c r="F396" s="958"/>
      <c r="G396" s="935"/>
      <c r="H396" s="952"/>
      <c r="I396" s="35" t="s">
        <v>207</v>
      </c>
      <c r="J396" s="180">
        <v>50000</v>
      </c>
      <c r="K396" s="489" t="s">
        <v>20</v>
      </c>
      <c r="L396" s="489">
        <v>0</v>
      </c>
      <c r="M396" s="489" t="s">
        <v>175</v>
      </c>
      <c r="N396" s="489"/>
      <c r="O396" s="489"/>
      <c r="P396" s="20"/>
      <c r="Q396" s="27" t="s">
        <v>22</v>
      </c>
      <c r="R396" s="98">
        <f>J396*L396</f>
        <v>0</v>
      </c>
      <c r="S396" s="168"/>
      <c r="T396" s="7"/>
    </row>
    <row r="397" spans="1:20" s="169" customFormat="1" ht="15.75" customHeight="1">
      <c r="A397" s="23"/>
      <c r="B397" s="20"/>
      <c r="C397" s="32"/>
      <c r="D397" s="955"/>
      <c r="E397" s="509">
        <v>3128</v>
      </c>
      <c r="F397" s="509">
        <f>T399/1000</f>
        <v>0</v>
      </c>
      <c r="G397" s="935"/>
      <c r="H397" s="952"/>
      <c r="I397" s="35" t="s">
        <v>686</v>
      </c>
      <c r="J397" s="180">
        <v>80000</v>
      </c>
      <c r="K397" s="489" t="s">
        <v>20</v>
      </c>
      <c r="L397" s="489">
        <v>0</v>
      </c>
      <c r="M397" s="489" t="s">
        <v>175</v>
      </c>
      <c r="N397" s="489" t="s">
        <v>20</v>
      </c>
      <c r="O397" s="489">
        <v>1</v>
      </c>
      <c r="P397" s="27" t="s">
        <v>175</v>
      </c>
      <c r="Q397" s="27" t="s">
        <v>22</v>
      </c>
      <c r="R397" s="98">
        <f>J397*L397*O397</f>
        <v>0</v>
      </c>
      <c r="S397" s="168"/>
      <c r="T397" s="7"/>
    </row>
    <row r="398" spans="1:20" s="169" customFormat="1" ht="15.75" customHeight="1">
      <c r="A398" s="23"/>
      <c r="B398" s="20"/>
      <c r="C398" s="32"/>
      <c r="D398" s="522"/>
      <c r="E398" s="33"/>
      <c r="F398" s="33"/>
      <c r="G398" s="935"/>
      <c r="H398" s="952"/>
      <c r="I398" s="35"/>
      <c r="J398" s="214"/>
      <c r="K398" s="489"/>
      <c r="L398" s="489"/>
      <c r="M398" s="489"/>
      <c r="N398" s="489"/>
      <c r="O398" s="489"/>
      <c r="P398" s="20"/>
      <c r="Q398" s="20"/>
      <c r="R398" s="203"/>
      <c r="S398" s="168"/>
      <c r="T398" s="7"/>
    </row>
    <row r="399" spans="1:20" s="169" customFormat="1" ht="15.75" customHeight="1">
      <c r="A399" s="23"/>
      <c r="B399" s="20"/>
      <c r="C399" s="32"/>
      <c r="D399" s="493"/>
      <c r="E399" s="140"/>
      <c r="F399" s="140"/>
      <c r="G399" s="934"/>
      <c r="H399" s="953"/>
      <c r="I399" s="16"/>
      <c r="J399" s="212"/>
      <c r="K399" s="534"/>
      <c r="L399" s="534"/>
      <c r="M399" s="534"/>
      <c r="N399" s="534"/>
      <c r="O399" s="534"/>
      <c r="P399" s="18"/>
      <c r="Q399" s="18" t="s">
        <v>204</v>
      </c>
      <c r="R399" s="213">
        <f>R395+R396+R397</f>
        <v>0</v>
      </c>
      <c r="S399" s="168"/>
      <c r="T399" s="7"/>
    </row>
    <row r="400" spans="1:20" s="169" customFormat="1" ht="15.75" hidden="1" customHeight="1">
      <c r="A400" s="23"/>
      <c r="B400" s="20"/>
      <c r="C400" s="32"/>
      <c r="D400" s="959"/>
      <c r="E400" s="957">
        <v>0</v>
      </c>
      <c r="F400" s="957">
        <v>0</v>
      </c>
      <c r="G400" s="933">
        <f>F400+F402-E400-E402</f>
        <v>0</v>
      </c>
      <c r="H400" s="951" t="e">
        <f>G400/(E400+E402)</f>
        <v>#DIV/0!</v>
      </c>
      <c r="I400" s="35"/>
      <c r="J400" s="214"/>
      <c r="K400" s="489"/>
      <c r="L400" s="489"/>
      <c r="M400" s="489"/>
      <c r="N400" s="489"/>
      <c r="O400" s="489"/>
      <c r="P400" s="20"/>
      <c r="Q400" s="20"/>
      <c r="R400" s="98">
        <v>0</v>
      </c>
      <c r="S400" s="168"/>
      <c r="T400" s="7"/>
    </row>
    <row r="401" spans="1:20" s="169" customFormat="1" ht="15.75" hidden="1" customHeight="1">
      <c r="A401" s="23"/>
      <c r="B401" s="20"/>
      <c r="C401" s="32"/>
      <c r="D401" s="960"/>
      <c r="E401" s="958"/>
      <c r="F401" s="958"/>
      <c r="G401" s="935"/>
      <c r="H401" s="952"/>
      <c r="I401" s="35"/>
      <c r="J401" s="180">
        <v>20000</v>
      </c>
      <c r="K401" s="489" t="s">
        <v>20</v>
      </c>
      <c r="L401" s="489">
        <v>0</v>
      </c>
      <c r="M401" s="489" t="s">
        <v>25</v>
      </c>
      <c r="N401" s="489"/>
      <c r="O401" s="489"/>
      <c r="P401" s="20"/>
      <c r="Q401" s="27" t="s">
        <v>22</v>
      </c>
      <c r="R401" s="98">
        <f>J401*L401</f>
        <v>0</v>
      </c>
      <c r="S401" s="168"/>
      <c r="T401" s="7"/>
    </row>
    <row r="402" spans="1:20" s="169" customFormat="1" ht="15.75" hidden="1" customHeight="1">
      <c r="A402" s="23"/>
      <c r="B402" s="20"/>
      <c r="C402" s="32"/>
      <c r="D402" s="960"/>
      <c r="E402" s="509">
        <v>0</v>
      </c>
      <c r="F402" s="509">
        <f>T404/1000</f>
        <v>0</v>
      </c>
      <c r="G402" s="935"/>
      <c r="H402" s="952"/>
      <c r="I402" s="35"/>
      <c r="J402" s="180">
        <v>30000</v>
      </c>
      <c r="K402" s="489" t="s">
        <v>20</v>
      </c>
      <c r="L402" s="489">
        <v>0</v>
      </c>
      <c r="M402" s="489" t="s">
        <v>178</v>
      </c>
      <c r="N402" s="489"/>
      <c r="O402" s="489"/>
      <c r="P402" s="20"/>
      <c r="Q402" s="27" t="s">
        <v>22</v>
      </c>
      <c r="R402" s="98">
        <f>J402*L402</f>
        <v>0</v>
      </c>
      <c r="S402" s="168"/>
      <c r="T402" s="7"/>
    </row>
    <row r="403" spans="1:20" s="169" customFormat="1" ht="15.75" hidden="1" customHeight="1">
      <c r="A403" s="23"/>
      <c r="B403" s="20"/>
      <c r="C403" s="32"/>
      <c r="D403" s="522"/>
      <c r="E403" s="33"/>
      <c r="F403" s="33"/>
      <c r="G403" s="935"/>
      <c r="H403" s="952"/>
      <c r="I403" s="35"/>
      <c r="J403" s="214"/>
      <c r="K403" s="489"/>
      <c r="L403" s="489"/>
      <c r="M403" s="489"/>
      <c r="N403" s="489"/>
      <c r="O403" s="489"/>
      <c r="P403" s="20"/>
      <c r="Q403" s="20"/>
      <c r="R403" s="203"/>
      <c r="S403" s="168"/>
      <c r="T403" s="7"/>
    </row>
    <row r="404" spans="1:20" s="169" customFormat="1" ht="15.75" hidden="1" customHeight="1">
      <c r="A404" s="23"/>
      <c r="B404" s="20"/>
      <c r="C404" s="32"/>
      <c r="D404" s="493"/>
      <c r="E404" s="140"/>
      <c r="F404" s="140"/>
      <c r="G404" s="934"/>
      <c r="H404" s="953"/>
      <c r="I404" s="16"/>
      <c r="J404" s="212"/>
      <c r="K404" s="534"/>
      <c r="L404" s="534"/>
      <c r="M404" s="534"/>
      <c r="N404" s="534"/>
      <c r="O404" s="534"/>
      <c r="P404" s="18"/>
      <c r="Q404" s="18" t="s">
        <v>11</v>
      </c>
      <c r="R404" s="213">
        <f>R400+R401+R402</f>
        <v>0</v>
      </c>
      <c r="S404" s="168">
        <v>0</v>
      </c>
      <c r="T404" s="7">
        <v>0</v>
      </c>
    </row>
    <row r="405" spans="1:20" s="169" customFormat="1" ht="15.75" customHeight="1">
      <c r="A405" s="23"/>
      <c r="B405" s="20"/>
      <c r="C405" s="32"/>
      <c r="D405" s="954" t="s">
        <v>208</v>
      </c>
      <c r="E405" s="957">
        <v>0</v>
      </c>
      <c r="F405" s="957">
        <v>0</v>
      </c>
      <c r="G405" s="933">
        <f>F405+F407-E405-E407</f>
        <v>-1719</v>
      </c>
      <c r="H405" s="951">
        <f>G405/(E405+E407)</f>
        <v>-1</v>
      </c>
      <c r="I405" s="35" t="s">
        <v>209</v>
      </c>
      <c r="J405" s="214"/>
      <c r="K405" s="489"/>
      <c r="L405" s="489"/>
      <c r="M405" s="489"/>
      <c r="N405" s="489"/>
      <c r="O405" s="489"/>
      <c r="P405" s="20"/>
      <c r="Q405" s="20"/>
      <c r="R405" s="98">
        <v>0</v>
      </c>
      <c r="S405" s="168"/>
      <c r="T405" s="7"/>
    </row>
    <row r="406" spans="1:20" s="169" customFormat="1" ht="15.75" customHeight="1">
      <c r="A406" s="23"/>
      <c r="B406" s="20"/>
      <c r="C406" s="32"/>
      <c r="D406" s="955"/>
      <c r="E406" s="958"/>
      <c r="F406" s="958"/>
      <c r="G406" s="935"/>
      <c r="H406" s="952"/>
      <c r="I406" s="35" t="s">
        <v>693</v>
      </c>
      <c r="J406" s="180">
        <v>20000</v>
      </c>
      <c r="K406" s="489" t="s">
        <v>20</v>
      </c>
      <c r="L406" s="489">
        <v>0</v>
      </c>
      <c r="M406" s="489" t="s">
        <v>25</v>
      </c>
      <c r="N406" s="489"/>
      <c r="O406" s="489"/>
      <c r="P406" s="20"/>
      <c r="Q406" s="27" t="s">
        <v>22</v>
      </c>
      <c r="R406" s="98">
        <f>J406*L406</f>
        <v>0</v>
      </c>
      <c r="S406" s="168"/>
      <c r="T406" s="7"/>
    </row>
    <row r="407" spans="1:20" s="169" customFormat="1" ht="15.75" customHeight="1">
      <c r="A407" s="23"/>
      <c r="B407" s="20"/>
      <c r="C407" s="32"/>
      <c r="D407" s="955"/>
      <c r="E407" s="509">
        <v>1719</v>
      </c>
      <c r="F407" s="509">
        <f>T409/1000</f>
        <v>0</v>
      </c>
      <c r="G407" s="935"/>
      <c r="H407" s="952"/>
      <c r="I407" s="35" t="s">
        <v>177</v>
      </c>
      <c r="J407" s="180">
        <v>30000</v>
      </c>
      <c r="K407" s="489" t="s">
        <v>20</v>
      </c>
      <c r="L407" s="489">
        <v>0</v>
      </c>
      <c r="M407" s="489" t="s">
        <v>178</v>
      </c>
      <c r="N407" s="489"/>
      <c r="O407" s="489"/>
      <c r="P407" s="20"/>
      <c r="Q407" s="27" t="s">
        <v>22</v>
      </c>
      <c r="R407" s="98">
        <f>J407*L407</f>
        <v>0</v>
      </c>
      <c r="S407" s="168"/>
      <c r="T407" s="7"/>
    </row>
    <row r="408" spans="1:20" s="169" customFormat="1" ht="15.75" customHeight="1">
      <c r="A408" s="23"/>
      <c r="B408" s="20"/>
      <c r="C408" s="32"/>
      <c r="D408" s="522"/>
      <c r="E408" s="33"/>
      <c r="F408" s="33"/>
      <c r="G408" s="935"/>
      <c r="H408" s="952"/>
      <c r="I408" s="35"/>
      <c r="J408" s="214"/>
      <c r="K408" s="489"/>
      <c r="L408" s="489"/>
      <c r="M408" s="489"/>
      <c r="N408" s="489"/>
      <c r="O408" s="489"/>
      <c r="P408" s="20"/>
      <c r="Q408" s="20"/>
      <c r="R408" s="203"/>
      <c r="S408" s="168"/>
      <c r="T408" s="7"/>
    </row>
    <row r="409" spans="1:20" s="169" customFormat="1" ht="15.75" customHeight="1">
      <c r="A409" s="23"/>
      <c r="B409" s="20"/>
      <c r="C409" s="32"/>
      <c r="D409" s="493"/>
      <c r="E409" s="140"/>
      <c r="F409" s="140"/>
      <c r="G409" s="934"/>
      <c r="H409" s="953"/>
      <c r="I409" s="16"/>
      <c r="J409" s="212"/>
      <c r="K409" s="534"/>
      <c r="L409" s="534"/>
      <c r="M409" s="534"/>
      <c r="N409" s="534"/>
      <c r="O409" s="534"/>
      <c r="P409" s="18"/>
      <c r="Q409" s="18" t="s">
        <v>204</v>
      </c>
      <c r="R409" s="213">
        <f>R405+R406+R407</f>
        <v>0</v>
      </c>
      <c r="S409" s="168">
        <v>0</v>
      </c>
      <c r="T409" s="7"/>
    </row>
    <row r="410" spans="1:20" s="169" customFormat="1" ht="15" customHeight="1">
      <c r="A410" s="23"/>
      <c r="B410" s="20"/>
      <c r="C410" s="32"/>
      <c r="D410" s="943" t="s">
        <v>226</v>
      </c>
      <c r="E410" s="30">
        <v>0</v>
      </c>
      <c r="F410" s="30">
        <v>0</v>
      </c>
      <c r="G410" s="933">
        <f>F410+F411-E410-E411</f>
        <v>1194.4470000000001</v>
      </c>
      <c r="H410" s="910">
        <f>G410/(E410+E411)</f>
        <v>3.9769827528800698E-2</v>
      </c>
      <c r="I410" s="106" t="s">
        <v>210</v>
      </c>
      <c r="J410" s="226"/>
      <c r="K410" s="28"/>
      <c r="L410" s="28"/>
      <c r="M410" s="28"/>
      <c r="N410" s="28"/>
      <c r="O410" s="28"/>
      <c r="P410" s="28"/>
      <c r="Q410" s="28"/>
      <c r="R410" s="217">
        <f>R411+R412+R413+R414</f>
        <v>30364447</v>
      </c>
      <c r="S410" s="168"/>
      <c r="T410" s="7"/>
    </row>
    <row r="411" spans="1:20" s="169" customFormat="1" ht="15" customHeight="1">
      <c r="A411" s="23"/>
      <c r="B411" s="20"/>
      <c r="C411" s="32"/>
      <c r="D411" s="942"/>
      <c r="E411" s="923">
        <v>30034</v>
      </c>
      <c r="F411" s="923">
        <f>T422/1000</f>
        <v>31228.447</v>
      </c>
      <c r="G411" s="935"/>
      <c r="H411" s="911"/>
      <c r="I411" s="445" t="s">
        <v>227</v>
      </c>
      <c r="J411" s="694">
        <v>1900000</v>
      </c>
      <c r="K411" s="695" t="s">
        <v>24</v>
      </c>
      <c r="L411" s="695" t="s">
        <v>228</v>
      </c>
      <c r="M411" s="695" t="s">
        <v>24</v>
      </c>
      <c r="N411" s="695" t="s">
        <v>1235</v>
      </c>
      <c r="O411" s="695" t="s">
        <v>230</v>
      </c>
      <c r="P411" s="695"/>
      <c r="Q411" s="695" t="s">
        <v>22</v>
      </c>
      <c r="R411" s="483">
        <f>J411*N411</f>
        <v>5700000</v>
      </c>
      <c r="S411" s="168" t="s">
        <v>1005</v>
      </c>
      <c r="T411" s="7"/>
    </row>
    <row r="412" spans="1:20" s="169" customFormat="1" ht="15" customHeight="1">
      <c r="A412" s="23"/>
      <c r="B412" s="20"/>
      <c r="C412" s="32"/>
      <c r="D412" s="942"/>
      <c r="E412" s="917"/>
      <c r="F412" s="917"/>
      <c r="G412" s="935"/>
      <c r="H412" s="911"/>
      <c r="I412" s="35"/>
      <c r="J412" s="79">
        <v>2240000</v>
      </c>
      <c r="K412" s="202" t="s">
        <v>20</v>
      </c>
      <c r="L412" s="202" t="s">
        <v>228</v>
      </c>
      <c r="M412" s="202" t="s">
        <v>20</v>
      </c>
      <c r="N412" s="202" t="s">
        <v>1236</v>
      </c>
      <c r="O412" s="202" t="s">
        <v>230</v>
      </c>
      <c r="P412" s="202"/>
      <c r="Q412" s="202" t="s">
        <v>22</v>
      </c>
      <c r="R412" s="98">
        <f>J412*N412</f>
        <v>20160000</v>
      </c>
      <c r="S412" s="168"/>
      <c r="T412" s="7"/>
    </row>
    <row r="413" spans="1:20" s="169" customFormat="1" ht="15" customHeight="1">
      <c r="A413" s="23"/>
      <c r="B413" s="20"/>
      <c r="C413" s="32"/>
      <c r="D413" s="942"/>
      <c r="E413" s="917"/>
      <c r="F413" s="917"/>
      <c r="G413" s="935"/>
      <c r="H413" s="911"/>
      <c r="I413" s="445" t="s">
        <v>231</v>
      </c>
      <c r="J413" s="694">
        <f>R411+R412</f>
        <v>25860000</v>
      </c>
      <c r="K413" s="695" t="s">
        <v>20</v>
      </c>
      <c r="L413" s="695" t="s">
        <v>232</v>
      </c>
      <c r="M413" s="695"/>
      <c r="N413" s="695"/>
      <c r="O413" s="695"/>
      <c r="P413" s="695"/>
      <c r="Q413" s="695" t="s">
        <v>233</v>
      </c>
      <c r="R413" s="696">
        <f>J413/12+27</f>
        <v>2155027</v>
      </c>
      <c r="S413" s="168" t="s">
        <v>1005</v>
      </c>
      <c r="T413" s="7"/>
    </row>
    <row r="414" spans="1:20" s="169" customFormat="1" ht="15" customHeight="1">
      <c r="A414" s="23"/>
      <c r="B414" s="23"/>
      <c r="C414" s="23"/>
      <c r="D414" s="686"/>
      <c r="E414" s="917"/>
      <c r="F414" s="917"/>
      <c r="G414" s="506"/>
      <c r="H414" s="491"/>
      <c r="I414" s="445" t="s">
        <v>234</v>
      </c>
      <c r="J414" s="694">
        <f>R411+R412</f>
        <v>25860000</v>
      </c>
      <c r="K414" s="695" t="s">
        <v>24</v>
      </c>
      <c r="L414" s="695" t="s">
        <v>235</v>
      </c>
      <c r="M414" s="695" t="s">
        <v>24</v>
      </c>
      <c r="N414" s="695" t="s">
        <v>236</v>
      </c>
      <c r="O414" s="695"/>
      <c r="P414" s="695"/>
      <c r="Q414" s="695" t="s">
        <v>22</v>
      </c>
      <c r="R414" s="696">
        <f>J414*L414*N414+22020</f>
        <v>2349420</v>
      </c>
      <c r="S414" s="168" t="s">
        <v>1005</v>
      </c>
      <c r="T414" s="7"/>
    </row>
    <row r="415" spans="1:20" s="169" customFormat="1" ht="15" customHeight="1">
      <c r="A415" s="23"/>
      <c r="B415" s="22"/>
      <c r="C415" s="23"/>
      <c r="D415" s="686"/>
      <c r="E415" s="917"/>
      <c r="F415" s="917"/>
      <c r="G415" s="205"/>
      <c r="H415" s="507"/>
      <c r="I415" s="20" t="s">
        <v>237</v>
      </c>
      <c r="J415" s="79"/>
      <c r="K415" s="202"/>
      <c r="L415" s="202"/>
      <c r="M415" s="202"/>
      <c r="N415" s="202"/>
      <c r="O415" s="202"/>
      <c r="P415" s="202"/>
      <c r="Q415" s="202"/>
      <c r="R415" s="68">
        <v>48000</v>
      </c>
      <c r="S415" s="168"/>
      <c r="T415" s="7"/>
    </row>
    <row r="416" spans="1:20" s="169" customFormat="1" ht="15" customHeight="1">
      <c r="A416" s="23"/>
      <c r="B416" s="22"/>
      <c r="C416" s="23"/>
      <c r="D416" s="686"/>
      <c r="E416" s="917"/>
      <c r="F416" s="917"/>
      <c r="G416" s="205"/>
      <c r="H416" s="507"/>
      <c r="I416" s="20" t="s">
        <v>238</v>
      </c>
      <c r="J416" s="79"/>
      <c r="K416" s="202"/>
      <c r="L416" s="202"/>
      <c r="M416" s="202"/>
      <c r="N416" s="202"/>
      <c r="O416" s="202"/>
      <c r="P416" s="202"/>
      <c r="Q416" s="202"/>
      <c r="R416" s="68">
        <f>SUM(R417:R419)</f>
        <v>776000</v>
      </c>
      <c r="S416" s="168"/>
      <c r="T416" s="7"/>
    </row>
    <row r="417" spans="1:20" s="169" customFormat="1" ht="15" customHeight="1">
      <c r="A417" s="23"/>
      <c r="B417" s="22"/>
      <c r="C417" s="88"/>
      <c r="D417" s="686"/>
      <c r="E417" s="917"/>
      <c r="F417" s="917"/>
      <c r="G417" s="205"/>
      <c r="H417" s="507"/>
      <c r="I417" s="20" t="s">
        <v>1006</v>
      </c>
      <c r="J417" s="79">
        <v>30000</v>
      </c>
      <c r="K417" s="202" t="s">
        <v>20</v>
      </c>
      <c r="L417" s="532" t="s">
        <v>1004</v>
      </c>
      <c r="M417" s="202" t="s">
        <v>180</v>
      </c>
      <c r="N417" s="202"/>
      <c r="O417" s="202"/>
      <c r="P417" s="202"/>
      <c r="Q417" s="202" t="s">
        <v>22</v>
      </c>
      <c r="R417" s="68">
        <f>J417*L417</f>
        <v>300000</v>
      </c>
      <c r="S417" s="168"/>
      <c r="T417" s="7"/>
    </row>
    <row r="418" spans="1:20" s="169" customFormat="1" ht="15" customHeight="1">
      <c r="A418" s="23"/>
      <c r="B418" s="88"/>
      <c r="C418" s="88"/>
      <c r="D418" s="697"/>
      <c r="E418" s="917"/>
      <c r="F418" s="917"/>
      <c r="G418" s="205"/>
      <c r="H418" s="227"/>
      <c r="I418" s="20" t="s">
        <v>1007</v>
      </c>
      <c r="J418" s="63">
        <v>20000</v>
      </c>
      <c r="K418" s="202" t="s">
        <v>24</v>
      </c>
      <c r="L418" s="532" t="s">
        <v>1004</v>
      </c>
      <c r="M418" s="202" t="s">
        <v>180</v>
      </c>
      <c r="N418" s="202"/>
      <c r="O418" s="202"/>
      <c r="P418" s="202"/>
      <c r="Q418" s="202" t="s">
        <v>22</v>
      </c>
      <c r="R418" s="64">
        <f>J418*L418</f>
        <v>200000</v>
      </c>
      <c r="S418" s="168"/>
      <c r="T418" s="7"/>
    </row>
    <row r="419" spans="1:20" s="169" customFormat="1" ht="15" customHeight="1">
      <c r="A419" s="23"/>
      <c r="B419" s="88"/>
      <c r="C419" s="88"/>
      <c r="D419" s="698"/>
      <c r="E419" s="917"/>
      <c r="F419" s="917"/>
      <c r="G419" s="229"/>
      <c r="H419" s="229"/>
      <c r="I419" s="20" t="s">
        <v>1008</v>
      </c>
      <c r="J419" s="200">
        <v>276000</v>
      </c>
      <c r="K419" s="20" t="s">
        <v>24</v>
      </c>
      <c r="L419" s="489">
        <v>1</v>
      </c>
      <c r="M419" s="20" t="s">
        <v>180</v>
      </c>
      <c r="N419" s="20"/>
      <c r="O419" s="20"/>
      <c r="P419" s="20"/>
      <c r="Q419" s="202" t="s">
        <v>22</v>
      </c>
      <c r="R419" s="68">
        <f>J419*L419</f>
        <v>276000</v>
      </c>
      <c r="S419" s="168"/>
      <c r="T419" s="7"/>
    </row>
    <row r="420" spans="1:20" s="169" customFormat="1" ht="15" customHeight="1">
      <c r="A420" s="23"/>
      <c r="B420" s="22"/>
      <c r="C420" s="22"/>
      <c r="D420" s="88"/>
      <c r="E420" s="44"/>
      <c r="F420" s="44"/>
      <c r="G420" s="506"/>
      <c r="H420" s="511"/>
      <c r="I420" s="20" t="s">
        <v>241</v>
      </c>
      <c r="J420" s="200">
        <v>20000</v>
      </c>
      <c r="K420" s="20" t="s">
        <v>24</v>
      </c>
      <c r="L420" s="489">
        <v>2</v>
      </c>
      <c r="M420" s="20" t="s">
        <v>242</v>
      </c>
      <c r="N420" s="20"/>
      <c r="O420" s="20"/>
      <c r="P420" s="20"/>
      <c r="Q420" s="202" t="s">
        <v>22</v>
      </c>
      <c r="R420" s="64">
        <f>J420*L420</f>
        <v>40000</v>
      </c>
      <c r="S420" s="168"/>
      <c r="T420" s="7"/>
    </row>
    <row r="421" spans="1:20" s="169" customFormat="1" ht="15" customHeight="1">
      <c r="A421" s="23"/>
      <c r="B421" s="22"/>
      <c r="C421" s="22"/>
      <c r="D421" s="88"/>
      <c r="E421" s="44"/>
      <c r="F421" s="44"/>
      <c r="G421" s="506"/>
      <c r="H421" s="511"/>
      <c r="I421" s="20"/>
      <c r="J421" s="79"/>
      <c r="K421" s="202"/>
      <c r="L421" s="202"/>
      <c r="M421" s="202"/>
      <c r="N421" s="202"/>
      <c r="O421" s="202"/>
      <c r="P421" s="202"/>
      <c r="Q421" s="202"/>
      <c r="R421" s="68"/>
      <c r="S421" s="168"/>
      <c r="T421" s="7"/>
    </row>
    <row r="422" spans="1:20" s="169" customFormat="1" ht="15" customHeight="1">
      <c r="A422" s="23"/>
      <c r="B422" s="22"/>
      <c r="C422" s="22"/>
      <c r="D422" s="230"/>
      <c r="E422" s="50"/>
      <c r="F422" s="50"/>
      <c r="G422" s="533"/>
      <c r="H422" s="231"/>
      <c r="I422" s="18"/>
      <c r="J422" s="17"/>
      <c r="K422" s="221"/>
      <c r="L422" s="221"/>
      <c r="M422" s="221"/>
      <c r="N422" s="221"/>
      <c r="O422" s="221"/>
      <c r="P422" s="221"/>
      <c r="Q422" s="221" t="s">
        <v>23</v>
      </c>
      <c r="R422" s="170">
        <f>SUM(R410,R415,R416,R420)</f>
        <v>31228447</v>
      </c>
      <c r="S422" s="168">
        <v>0</v>
      </c>
      <c r="T422" s="7">
        <f>R422-S422</f>
        <v>31228447</v>
      </c>
    </row>
    <row r="423" spans="1:20" s="169" customFormat="1" ht="15.75" customHeight="1">
      <c r="A423" s="23"/>
      <c r="B423" s="924"/>
      <c r="C423" s="939" t="s">
        <v>243</v>
      </c>
      <c r="D423" s="35"/>
      <c r="E423" s="232">
        <f>E425</f>
        <v>0</v>
      </c>
      <c r="F423" s="232">
        <f>F425</f>
        <v>0</v>
      </c>
      <c r="G423" s="906">
        <f>F423+F424-E423-E424</f>
        <v>-1252.5900000000001</v>
      </c>
      <c r="H423" s="962">
        <f>G423/(E423+E424)</f>
        <v>-6.0269932156089119E-2</v>
      </c>
      <c r="I423" s="35"/>
      <c r="J423" s="21"/>
      <c r="K423" s="20"/>
      <c r="L423" s="20"/>
      <c r="M423" s="20"/>
      <c r="N423" s="20"/>
      <c r="O423" s="20"/>
      <c r="P423" s="20"/>
      <c r="Q423" s="20"/>
      <c r="R423" s="203"/>
      <c r="S423" s="168"/>
      <c r="T423" s="7"/>
    </row>
    <row r="424" spans="1:20" s="169" customFormat="1" ht="15.75" customHeight="1">
      <c r="A424" s="23"/>
      <c r="B424" s="901"/>
      <c r="C424" s="941"/>
      <c r="D424" s="16"/>
      <c r="E424" s="512">
        <f>E427+E450+E468+E474+E456+E462</f>
        <v>20783</v>
      </c>
      <c r="F424" s="677">
        <f>F427+F450+F468+F474+F456+F462</f>
        <v>19530.41</v>
      </c>
      <c r="G424" s="907"/>
      <c r="H424" s="963"/>
      <c r="I424" s="16"/>
      <c r="J424" s="17"/>
      <c r="K424" s="18"/>
      <c r="L424" s="18"/>
      <c r="M424" s="18"/>
      <c r="N424" s="18"/>
      <c r="O424" s="18"/>
      <c r="P424" s="18"/>
      <c r="Q424" s="18"/>
      <c r="R424" s="213"/>
      <c r="S424" s="168">
        <f>SUM(S447)</f>
        <v>0</v>
      </c>
      <c r="T424" s="168">
        <f>SUM(T447)+T477+T453+T459+T465+T471</f>
        <v>19530410</v>
      </c>
    </row>
    <row r="425" spans="1:20" s="169" customFormat="1" ht="15" customHeight="1">
      <c r="A425" s="23"/>
      <c r="B425" s="23"/>
      <c r="C425" s="88"/>
      <c r="D425" s="942" t="s">
        <v>841</v>
      </c>
      <c r="E425" s="917">
        <v>0</v>
      </c>
      <c r="F425" s="917">
        <v>0</v>
      </c>
      <c r="G425" s="935">
        <f>F425+F427-E425-E427</f>
        <v>289.89999999999964</v>
      </c>
      <c r="H425" s="964">
        <f>G425/(E425+E427)</f>
        <v>2.8739962327748551E-2</v>
      </c>
      <c r="I425" s="218" t="s">
        <v>842</v>
      </c>
      <c r="J425" s="79"/>
      <c r="K425" s="202"/>
      <c r="L425" s="202"/>
      <c r="M425" s="202"/>
      <c r="N425" s="202"/>
      <c r="O425" s="202"/>
      <c r="P425" s="202"/>
      <c r="Q425" s="202"/>
      <c r="R425" s="98">
        <f>SUM(R426,R427,R428,R435,R443)</f>
        <v>10376900</v>
      </c>
      <c r="S425" s="168"/>
      <c r="T425" s="7"/>
    </row>
    <row r="426" spans="1:20" s="169" customFormat="1" ht="15" customHeight="1">
      <c r="A426" s="23"/>
      <c r="B426" s="23"/>
      <c r="C426" s="23"/>
      <c r="D426" s="942"/>
      <c r="E426" s="918"/>
      <c r="F426" s="918"/>
      <c r="G426" s="935"/>
      <c r="H426" s="964"/>
      <c r="I426" s="218" t="s">
        <v>244</v>
      </c>
      <c r="J426" s="180">
        <v>108900</v>
      </c>
      <c r="K426" s="523" t="s">
        <v>24</v>
      </c>
      <c r="L426" s="219" t="s">
        <v>245</v>
      </c>
      <c r="M426" s="523" t="s">
        <v>25</v>
      </c>
      <c r="N426" s="523"/>
      <c r="O426" s="523"/>
      <c r="P426" s="523"/>
      <c r="Q426" s="532" t="s">
        <v>22</v>
      </c>
      <c r="R426" s="98">
        <f>J426*L426</f>
        <v>108900</v>
      </c>
      <c r="S426" s="168"/>
      <c r="T426" s="7"/>
    </row>
    <row r="427" spans="1:20" s="169" customFormat="1" ht="15" customHeight="1">
      <c r="A427" s="23"/>
      <c r="B427" s="23"/>
      <c r="C427" s="23"/>
      <c r="D427" s="942"/>
      <c r="E427" s="503">
        <v>10087</v>
      </c>
      <c r="F427" s="62">
        <f>T447/1000</f>
        <v>10376.9</v>
      </c>
      <c r="G427" s="935"/>
      <c r="H427" s="964"/>
      <c r="I427" s="218" t="s">
        <v>246</v>
      </c>
      <c r="J427" s="180">
        <v>88000</v>
      </c>
      <c r="K427" s="532" t="s">
        <v>20</v>
      </c>
      <c r="L427" s="60" t="s">
        <v>247</v>
      </c>
      <c r="M427" s="532" t="s">
        <v>82</v>
      </c>
      <c r="N427" s="532"/>
      <c r="O427" s="532"/>
      <c r="P427" s="532"/>
      <c r="Q427" s="532" t="s">
        <v>22</v>
      </c>
      <c r="R427" s="98">
        <f>J427*L427</f>
        <v>88000</v>
      </c>
      <c r="S427" s="168"/>
      <c r="T427" s="7"/>
    </row>
    <row r="428" spans="1:20" s="169" customFormat="1" ht="15" customHeight="1">
      <c r="A428" s="23"/>
      <c r="B428" s="23"/>
      <c r="C428" s="23"/>
      <c r="D428" s="23"/>
      <c r="E428" s="44"/>
      <c r="F428" s="44"/>
      <c r="G428" s="506"/>
      <c r="H428" s="233"/>
      <c r="I428" s="218" t="s">
        <v>975</v>
      </c>
      <c r="J428" s="180"/>
      <c r="K428" s="532"/>
      <c r="L428" s="60"/>
      <c r="M428" s="532"/>
      <c r="N428" s="532"/>
      <c r="O428" s="532"/>
      <c r="P428" s="532"/>
      <c r="Q428" s="532"/>
      <c r="R428" s="98">
        <f>SUM(R429:R434)</f>
        <v>1280000</v>
      </c>
      <c r="S428" s="168"/>
      <c r="T428" s="7"/>
    </row>
    <row r="429" spans="1:20" s="169" customFormat="1" ht="15" customHeight="1">
      <c r="A429" s="23"/>
      <c r="B429" s="23"/>
      <c r="C429" s="23"/>
      <c r="D429" s="23"/>
      <c r="E429" s="44"/>
      <c r="F429" s="44"/>
      <c r="G429" s="506"/>
      <c r="H429" s="233"/>
      <c r="I429" s="218" t="s">
        <v>250</v>
      </c>
      <c r="J429" s="180">
        <v>70000</v>
      </c>
      <c r="K429" s="532" t="s">
        <v>20</v>
      </c>
      <c r="L429" s="60">
        <v>1</v>
      </c>
      <c r="M429" s="532" t="s">
        <v>180</v>
      </c>
      <c r="N429" s="532"/>
      <c r="O429" s="532"/>
      <c r="P429" s="532"/>
      <c r="Q429" s="532" t="s">
        <v>22</v>
      </c>
      <c r="R429" s="98">
        <f>J429*L429</f>
        <v>70000</v>
      </c>
      <c r="S429" s="168"/>
      <c r="T429" s="7"/>
    </row>
    <row r="430" spans="1:20" s="169" customFormat="1" ht="15" customHeight="1">
      <c r="A430" s="23"/>
      <c r="B430" s="23"/>
      <c r="C430" s="23"/>
      <c r="D430" s="23"/>
      <c r="E430" s="44"/>
      <c r="F430" s="44"/>
      <c r="G430" s="506"/>
      <c r="H430" s="233"/>
      <c r="I430" s="218" t="s">
        <v>971</v>
      </c>
      <c r="J430" s="180">
        <v>20000</v>
      </c>
      <c r="K430" s="532" t="s">
        <v>20</v>
      </c>
      <c r="L430" s="60">
        <v>1</v>
      </c>
      <c r="M430" s="532" t="s">
        <v>25</v>
      </c>
      <c r="N430" s="532"/>
      <c r="O430" s="532"/>
      <c r="P430" s="532"/>
      <c r="Q430" s="532" t="s">
        <v>22</v>
      </c>
      <c r="R430" s="98">
        <f>J430*L430</f>
        <v>20000</v>
      </c>
      <c r="S430" s="168"/>
      <c r="T430" s="7"/>
    </row>
    <row r="431" spans="1:20" s="169" customFormat="1" ht="15" customHeight="1">
      <c r="A431" s="23"/>
      <c r="B431" s="23"/>
      <c r="C431" s="23"/>
      <c r="D431" s="23"/>
      <c r="E431" s="44"/>
      <c r="F431" s="44"/>
      <c r="G431" s="506"/>
      <c r="H431" s="233"/>
      <c r="I431" s="218" t="s">
        <v>694</v>
      </c>
      <c r="J431" s="180">
        <v>3000</v>
      </c>
      <c r="K431" s="532" t="s">
        <v>20</v>
      </c>
      <c r="L431" s="60">
        <v>100</v>
      </c>
      <c r="M431" s="532" t="s">
        <v>21</v>
      </c>
      <c r="N431" s="532"/>
      <c r="O431" s="532"/>
      <c r="P431" s="532"/>
      <c r="Q431" s="532" t="s">
        <v>22</v>
      </c>
      <c r="R431" s="98">
        <f>J431*L431</f>
        <v>300000</v>
      </c>
      <c r="S431" s="168"/>
      <c r="T431" s="7"/>
    </row>
    <row r="432" spans="1:20" s="169" customFormat="1" ht="15" customHeight="1">
      <c r="A432" s="23"/>
      <c r="B432" s="23"/>
      <c r="C432" s="23"/>
      <c r="D432" s="23"/>
      <c r="E432" s="44"/>
      <c r="F432" s="44"/>
      <c r="G432" s="506"/>
      <c r="H432" s="233"/>
      <c r="I432" s="218" t="s">
        <v>695</v>
      </c>
      <c r="J432" s="180"/>
      <c r="K432" s="532"/>
      <c r="L432" s="60"/>
      <c r="M432" s="532"/>
      <c r="N432" s="532"/>
      <c r="O432" s="532"/>
      <c r="P432" s="532"/>
      <c r="Q432" s="532"/>
      <c r="R432" s="98">
        <v>50000</v>
      </c>
      <c r="S432" s="168"/>
      <c r="T432" s="7"/>
    </row>
    <row r="433" spans="1:20" s="169" customFormat="1" ht="15" customHeight="1">
      <c r="A433" s="23"/>
      <c r="B433" s="23"/>
      <c r="C433" s="23"/>
      <c r="D433" s="23"/>
      <c r="E433" s="44"/>
      <c r="F433" s="44"/>
      <c r="G433" s="506"/>
      <c r="H433" s="233"/>
      <c r="I433" s="218" t="s">
        <v>973</v>
      </c>
      <c r="J433" s="180">
        <v>20000</v>
      </c>
      <c r="K433" s="663" t="s">
        <v>20</v>
      </c>
      <c r="L433" s="60">
        <v>6</v>
      </c>
      <c r="M433" s="663" t="s">
        <v>972</v>
      </c>
      <c r="N433" s="663"/>
      <c r="O433" s="663"/>
      <c r="P433" s="663"/>
      <c r="Q433" s="663" t="s">
        <v>22</v>
      </c>
      <c r="R433" s="98">
        <f>J433*L433</f>
        <v>120000</v>
      </c>
      <c r="S433" s="168"/>
      <c r="T433" s="7"/>
    </row>
    <row r="434" spans="1:20" s="169" customFormat="1" ht="15" customHeight="1">
      <c r="A434" s="23"/>
      <c r="B434" s="23"/>
      <c r="C434" s="23"/>
      <c r="D434" s="23"/>
      <c r="E434" s="44"/>
      <c r="F434" s="44"/>
      <c r="G434" s="506"/>
      <c r="H434" s="233"/>
      <c r="I434" s="218" t="s">
        <v>974</v>
      </c>
      <c r="J434" s="180">
        <v>8000</v>
      </c>
      <c r="K434" s="663" t="s">
        <v>20</v>
      </c>
      <c r="L434" s="60">
        <v>90</v>
      </c>
      <c r="M434" s="663" t="s">
        <v>21</v>
      </c>
      <c r="N434" s="663"/>
      <c r="O434" s="663"/>
      <c r="P434" s="663"/>
      <c r="Q434" s="663" t="s">
        <v>22</v>
      </c>
      <c r="R434" s="98">
        <f>J434*L434</f>
        <v>720000</v>
      </c>
      <c r="S434" s="168"/>
      <c r="T434" s="7"/>
    </row>
    <row r="435" spans="1:20" s="169" customFormat="1" ht="15" customHeight="1">
      <c r="A435" s="23"/>
      <c r="B435" s="23"/>
      <c r="C435" s="23"/>
      <c r="D435" s="23"/>
      <c r="E435" s="44"/>
      <c r="F435" s="44"/>
      <c r="G435" s="506"/>
      <c r="H435" s="233"/>
      <c r="I435" s="218" t="s">
        <v>979</v>
      </c>
      <c r="J435" s="180"/>
      <c r="K435" s="532"/>
      <c r="L435" s="60"/>
      <c r="M435" s="532"/>
      <c r="N435" s="532"/>
      <c r="O435" s="532"/>
      <c r="P435" s="532"/>
      <c r="Q435" s="234"/>
      <c r="R435" s="98">
        <f>R436+R438+R439+R440+R441+R442+R437</f>
        <v>8800000</v>
      </c>
      <c r="S435" s="168"/>
      <c r="T435" s="7"/>
    </row>
    <row r="436" spans="1:20" s="169" customFormat="1" ht="15" customHeight="1">
      <c r="A436" s="23"/>
      <c r="B436" s="23"/>
      <c r="C436" s="23"/>
      <c r="D436" s="23"/>
      <c r="E436" s="44"/>
      <c r="F436" s="44"/>
      <c r="G436" s="506"/>
      <c r="H436" s="233"/>
      <c r="I436" s="218" t="s">
        <v>696</v>
      </c>
      <c r="J436" s="180">
        <v>20000</v>
      </c>
      <c r="K436" s="532" t="s">
        <v>20</v>
      </c>
      <c r="L436" s="60">
        <v>2</v>
      </c>
      <c r="M436" s="532" t="s">
        <v>151</v>
      </c>
      <c r="N436" s="532" t="s">
        <v>20</v>
      </c>
      <c r="O436" s="754" t="s">
        <v>1193</v>
      </c>
      <c r="P436" s="532" t="s">
        <v>152</v>
      </c>
      <c r="Q436" s="234" t="s">
        <v>22</v>
      </c>
      <c r="R436" s="98">
        <f t="shared" ref="R436:R442" si="13">J436*L436*O436</f>
        <v>1760000</v>
      </c>
      <c r="S436" s="168"/>
      <c r="T436" s="7"/>
    </row>
    <row r="437" spans="1:20" s="169" customFormat="1" ht="15" customHeight="1">
      <c r="A437" s="23"/>
      <c r="B437" s="23"/>
      <c r="C437" s="23"/>
      <c r="D437" s="23"/>
      <c r="E437" s="44"/>
      <c r="F437" s="44"/>
      <c r="G437" s="715"/>
      <c r="H437" s="233"/>
      <c r="I437" s="218"/>
      <c r="J437" s="180">
        <v>20000</v>
      </c>
      <c r="K437" s="718" t="s">
        <v>20</v>
      </c>
      <c r="L437" s="60">
        <v>2</v>
      </c>
      <c r="M437" s="718" t="s">
        <v>151</v>
      </c>
      <c r="N437" s="718" t="s">
        <v>20</v>
      </c>
      <c r="O437" s="754" t="s">
        <v>1194</v>
      </c>
      <c r="P437" s="718" t="s">
        <v>152</v>
      </c>
      <c r="Q437" s="234" t="s">
        <v>22</v>
      </c>
      <c r="R437" s="98">
        <f>J437*L437*O437</f>
        <v>840000</v>
      </c>
      <c r="S437" s="168"/>
      <c r="T437" s="7"/>
    </row>
    <row r="438" spans="1:20" s="169" customFormat="1" ht="15" customHeight="1">
      <c r="A438" s="23"/>
      <c r="B438" s="23"/>
      <c r="C438" s="23"/>
      <c r="D438" s="23"/>
      <c r="E438" s="44"/>
      <c r="F438" s="44"/>
      <c r="G438" s="506"/>
      <c r="H438" s="233"/>
      <c r="I438" s="218" t="s">
        <v>697</v>
      </c>
      <c r="J438" s="180">
        <v>20000</v>
      </c>
      <c r="K438" s="532" t="s">
        <v>20</v>
      </c>
      <c r="L438" s="60">
        <v>2</v>
      </c>
      <c r="M438" s="532" t="s">
        <v>21</v>
      </c>
      <c r="N438" s="532" t="s">
        <v>20</v>
      </c>
      <c r="O438" s="754" t="s">
        <v>1195</v>
      </c>
      <c r="P438" s="532" t="s">
        <v>152</v>
      </c>
      <c r="Q438" s="234" t="s">
        <v>22</v>
      </c>
      <c r="R438" s="98">
        <f t="shared" si="13"/>
        <v>880000</v>
      </c>
      <c r="S438" s="168"/>
      <c r="T438" s="7"/>
    </row>
    <row r="439" spans="1:20" s="169" customFormat="1" ht="15" customHeight="1">
      <c r="A439" s="23"/>
      <c r="B439" s="23"/>
      <c r="C439" s="23"/>
      <c r="D439" s="23"/>
      <c r="E439" s="44"/>
      <c r="F439" s="44"/>
      <c r="G439" s="506"/>
      <c r="H439" s="233"/>
      <c r="I439" s="218" t="s">
        <v>698</v>
      </c>
      <c r="J439" s="180">
        <v>20000</v>
      </c>
      <c r="K439" s="532" t="s">
        <v>20</v>
      </c>
      <c r="L439" s="60">
        <v>1</v>
      </c>
      <c r="M439" s="532" t="s">
        <v>21</v>
      </c>
      <c r="N439" s="532" t="s">
        <v>20</v>
      </c>
      <c r="O439" s="754" t="s">
        <v>1193</v>
      </c>
      <c r="P439" s="532" t="s">
        <v>152</v>
      </c>
      <c r="Q439" s="234" t="s">
        <v>22</v>
      </c>
      <c r="R439" s="98">
        <f t="shared" si="13"/>
        <v>880000</v>
      </c>
      <c r="S439" s="168"/>
      <c r="T439" s="7"/>
    </row>
    <row r="440" spans="1:20" s="169" customFormat="1" ht="15" customHeight="1">
      <c r="A440" s="23"/>
      <c r="B440" s="23"/>
      <c r="C440" s="23"/>
      <c r="D440" s="23"/>
      <c r="E440" s="44"/>
      <c r="F440" s="44"/>
      <c r="G440" s="662"/>
      <c r="H440" s="233"/>
      <c r="I440" s="218" t="s">
        <v>976</v>
      </c>
      <c r="J440" s="180">
        <v>20000</v>
      </c>
      <c r="K440" s="663" t="s">
        <v>20</v>
      </c>
      <c r="L440" s="60">
        <v>1</v>
      </c>
      <c r="M440" s="663" t="s">
        <v>21</v>
      </c>
      <c r="N440" s="663" t="s">
        <v>20</v>
      </c>
      <c r="O440" s="754" t="s">
        <v>1231</v>
      </c>
      <c r="P440" s="663" t="s">
        <v>152</v>
      </c>
      <c r="Q440" s="234" t="s">
        <v>22</v>
      </c>
      <c r="R440" s="98">
        <f t="shared" si="13"/>
        <v>160000</v>
      </c>
      <c r="S440" s="168"/>
      <c r="T440" s="7"/>
    </row>
    <row r="441" spans="1:20" s="169" customFormat="1" ht="15" customHeight="1">
      <c r="A441" s="23"/>
      <c r="B441" s="23"/>
      <c r="C441" s="23"/>
      <c r="D441" s="23"/>
      <c r="E441" s="44"/>
      <c r="F441" s="44"/>
      <c r="G441" s="662"/>
      <c r="H441" s="233"/>
      <c r="I441" s="218" t="s">
        <v>977</v>
      </c>
      <c r="J441" s="180">
        <v>20000</v>
      </c>
      <c r="K441" s="663" t="s">
        <v>20</v>
      </c>
      <c r="L441" s="60">
        <v>1</v>
      </c>
      <c r="M441" s="663" t="s">
        <v>21</v>
      </c>
      <c r="N441" s="663" t="s">
        <v>20</v>
      </c>
      <c r="O441" s="754" t="s">
        <v>1196</v>
      </c>
      <c r="P441" s="663" t="s">
        <v>978</v>
      </c>
      <c r="Q441" s="234" t="s">
        <v>22</v>
      </c>
      <c r="R441" s="98">
        <f t="shared" si="13"/>
        <v>3440000</v>
      </c>
      <c r="S441" s="168"/>
      <c r="T441" s="7"/>
    </row>
    <row r="442" spans="1:20" s="169" customFormat="1" ht="15" customHeight="1">
      <c r="A442" s="23"/>
      <c r="B442" s="23"/>
      <c r="C442" s="23"/>
      <c r="D442" s="23"/>
      <c r="E442" s="44"/>
      <c r="F442" s="44"/>
      <c r="G442" s="662"/>
      <c r="H442" s="233"/>
      <c r="I442" s="218" t="s">
        <v>1116</v>
      </c>
      <c r="J442" s="180">
        <v>20000</v>
      </c>
      <c r="K442" s="663" t="s">
        <v>20</v>
      </c>
      <c r="L442" s="60">
        <v>1</v>
      </c>
      <c r="M442" s="663" t="s">
        <v>21</v>
      </c>
      <c r="N442" s="663" t="s">
        <v>20</v>
      </c>
      <c r="O442" s="754" t="s">
        <v>1197</v>
      </c>
      <c r="P442" s="663" t="s">
        <v>152</v>
      </c>
      <c r="Q442" s="234" t="s">
        <v>22</v>
      </c>
      <c r="R442" s="98">
        <f t="shared" si="13"/>
        <v>840000</v>
      </c>
      <c r="S442" s="168"/>
      <c r="T442" s="7"/>
    </row>
    <row r="443" spans="1:20" s="169" customFormat="1" ht="14.25" customHeight="1">
      <c r="A443" s="23"/>
      <c r="B443" s="23"/>
      <c r="C443" s="23"/>
      <c r="D443" s="23"/>
      <c r="E443" s="44"/>
      <c r="F443" s="44"/>
      <c r="G443" s="506"/>
      <c r="H443" s="233"/>
      <c r="I443" s="218" t="s">
        <v>980</v>
      </c>
      <c r="J443" s="946"/>
      <c r="K443" s="946"/>
      <c r="L443" s="946"/>
      <c r="M443" s="946"/>
      <c r="N443" s="946"/>
      <c r="O443" s="946"/>
      <c r="P443" s="946"/>
      <c r="Q443" s="532"/>
      <c r="R443" s="98">
        <f>SUM(R444:R445)</f>
        <v>100000</v>
      </c>
      <c r="S443" s="168"/>
      <c r="T443" s="7"/>
    </row>
    <row r="444" spans="1:20" s="169" customFormat="1" ht="15" customHeight="1">
      <c r="A444" s="23"/>
      <c r="B444" s="23"/>
      <c r="C444" s="23"/>
      <c r="D444" s="23"/>
      <c r="E444" s="44"/>
      <c r="F444" s="44"/>
      <c r="G444" s="506"/>
      <c r="H444" s="233"/>
      <c r="I444" s="218" t="s">
        <v>981</v>
      </c>
      <c r="J444" s="180">
        <v>50000</v>
      </c>
      <c r="K444" s="663" t="s">
        <v>20</v>
      </c>
      <c r="L444" s="60">
        <v>2</v>
      </c>
      <c r="M444" s="663" t="s">
        <v>25</v>
      </c>
      <c r="N444" s="663"/>
      <c r="O444" s="663"/>
      <c r="P444" s="663"/>
      <c r="Q444" s="663" t="s">
        <v>22</v>
      </c>
      <c r="R444" s="98">
        <f>J444*L444</f>
        <v>100000</v>
      </c>
      <c r="S444" s="168"/>
      <c r="T444" s="7"/>
    </row>
    <row r="445" spans="1:20" s="169" customFormat="1" ht="15" customHeight="1">
      <c r="A445" s="23"/>
      <c r="B445" s="23"/>
      <c r="C445" s="23"/>
      <c r="D445" s="23"/>
      <c r="E445" s="44"/>
      <c r="F445" s="44"/>
      <c r="G445" s="724"/>
      <c r="H445" s="233"/>
      <c r="I445" s="218"/>
      <c r="J445" s="180"/>
      <c r="K445" s="726"/>
      <c r="L445" s="60"/>
      <c r="M445" s="726"/>
      <c r="N445" s="726"/>
      <c r="O445" s="726"/>
      <c r="P445" s="726"/>
      <c r="Q445" s="726"/>
      <c r="R445" s="98"/>
      <c r="S445" s="168"/>
      <c r="T445" s="7"/>
    </row>
    <row r="446" spans="1:20" s="169" customFormat="1" ht="15" customHeight="1">
      <c r="A446" s="23"/>
      <c r="B446" s="23"/>
      <c r="C446" s="23"/>
      <c r="D446" s="23"/>
      <c r="E446" s="44"/>
      <c r="F446" s="44"/>
      <c r="G446" s="636"/>
      <c r="H446" s="233"/>
      <c r="I446" s="218"/>
      <c r="J446" s="180"/>
      <c r="K446" s="202"/>
      <c r="L446" s="202"/>
      <c r="M446" s="202"/>
      <c r="N446" s="202"/>
      <c r="O446" s="202"/>
      <c r="P446" s="202"/>
      <c r="Q446" s="202"/>
      <c r="R446" s="98"/>
      <c r="S446" s="168"/>
      <c r="T446" s="7"/>
    </row>
    <row r="447" spans="1:20" s="169" customFormat="1" ht="15" customHeight="1">
      <c r="A447" s="23"/>
      <c r="B447" s="23"/>
      <c r="C447" s="23"/>
      <c r="D447" s="542"/>
      <c r="E447" s="50"/>
      <c r="F447" s="50"/>
      <c r="G447" s="546"/>
      <c r="H447" s="266"/>
      <c r="I447" s="243"/>
      <c r="J447" s="268"/>
      <c r="K447" s="221"/>
      <c r="L447" s="221"/>
      <c r="M447" s="221"/>
      <c r="N447" s="221"/>
      <c r="O447" s="221"/>
      <c r="P447" s="221" t="s">
        <v>253</v>
      </c>
      <c r="Q447" s="221"/>
      <c r="R447" s="213">
        <f>SUM(R425)</f>
        <v>10376900</v>
      </c>
      <c r="S447" s="172">
        <v>0</v>
      </c>
      <c r="T447" s="7">
        <f>R447-S447</f>
        <v>10376900</v>
      </c>
    </row>
    <row r="448" spans="1:20" s="169" customFormat="1" ht="15" customHeight="1">
      <c r="A448" s="23"/>
      <c r="B448" s="23"/>
      <c r="C448" s="88"/>
      <c r="D448" s="954" t="s">
        <v>750</v>
      </c>
      <c r="E448" s="923">
        <v>0</v>
      </c>
      <c r="F448" s="923">
        <v>0</v>
      </c>
      <c r="G448" s="933">
        <f>F448+F450-E448-E450</f>
        <v>-158</v>
      </c>
      <c r="H448" s="962">
        <f>G448/(E448+E450)</f>
        <v>-1</v>
      </c>
      <c r="I448" s="223"/>
      <c r="J448" s="226"/>
      <c r="K448" s="237"/>
      <c r="L448" s="237"/>
      <c r="M448" s="237"/>
      <c r="N448" s="237"/>
      <c r="O448" s="237"/>
      <c r="P448" s="237"/>
      <c r="Q448" s="237"/>
      <c r="R448" s="217"/>
      <c r="S448" s="168"/>
      <c r="T448" s="7"/>
    </row>
    <row r="449" spans="1:20" s="169" customFormat="1" ht="15" customHeight="1">
      <c r="A449" s="23"/>
      <c r="B449" s="23"/>
      <c r="C449" s="23"/>
      <c r="D449" s="955"/>
      <c r="E449" s="918"/>
      <c r="F449" s="918"/>
      <c r="G449" s="935"/>
      <c r="H449" s="964"/>
      <c r="I449" s="218"/>
      <c r="J449" s="180"/>
      <c r="K449" s="684"/>
      <c r="L449" s="219"/>
      <c r="M449" s="684"/>
      <c r="N449" s="684"/>
      <c r="O449" s="684"/>
      <c r="P449" s="684"/>
      <c r="Q449" s="688"/>
      <c r="R449" s="98"/>
      <c r="S449" s="168"/>
      <c r="T449" s="7"/>
    </row>
    <row r="450" spans="1:20" s="169" customFormat="1" ht="15" customHeight="1">
      <c r="A450" s="23"/>
      <c r="B450" s="23"/>
      <c r="C450" s="23"/>
      <c r="D450" s="955"/>
      <c r="E450" s="678">
        <v>158</v>
      </c>
      <c r="F450" s="62">
        <f>T453/1000</f>
        <v>0</v>
      </c>
      <c r="G450" s="935"/>
      <c r="H450" s="964"/>
      <c r="I450" s="218"/>
      <c r="J450" s="180"/>
      <c r="K450" s="688"/>
      <c r="L450" s="60"/>
      <c r="M450" s="688"/>
      <c r="N450" s="688"/>
      <c r="O450" s="688"/>
      <c r="P450" s="688"/>
      <c r="Q450" s="688"/>
      <c r="R450" s="98"/>
      <c r="S450" s="168"/>
      <c r="T450" s="7"/>
    </row>
    <row r="451" spans="1:20" s="169" customFormat="1" ht="15" customHeight="1">
      <c r="A451" s="23"/>
      <c r="B451" s="23"/>
      <c r="C451" s="23"/>
      <c r="D451" s="955"/>
      <c r="E451" s="676"/>
      <c r="F451" s="676"/>
      <c r="G451" s="935"/>
      <c r="H451" s="964"/>
      <c r="I451" s="218"/>
      <c r="J451" s="180"/>
      <c r="K451" s="688"/>
      <c r="L451" s="60"/>
      <c r="M451" s="688"/>
      <c r="N451" s="688"/>
      <c r="O451" s="688"/>
      <c r="P451" s="688"/>
      <c r="Q451" s="688"/>
      <c r="R451" s="98"/>
      <c r="S451" s="168"/>
      <c r="T451" s="7"/>
    </row>
    <row r="452" spans="1:20" s="169" customFormat="1" ht="12">
      <c r="A452" s="23"/>
      <c r="B452" s="23"/>
      <c r="C452" s="23"/>
      <c r="D452" s="683"/>
      <c r="E452" s="676"/>
      <c r="F452" s="676"/>
      <c r="G452" s="682"/>
      <c r="H452" s="687"/>
      <c r="I452" s="218"/>
      <c r="J452" s="180"/>
      <c r="K452" s="688"/>
      <c r="L452" s="60"/>
      <c r="M452" s="688"/>
      <c r="N452" s="688"/>
      <c r="O452" s="688"/>
      <c r="P452" s="688"/>
      <c r="Q452" s="688"/>
      <c r="R452" s="98"/>
      <c r="S452" s="168"/>
      <c r="T452" s="7"/>
    </row>
    <row r="453" spans="1:20" s="169" customFormat="1" ht="15" customHeight="1">
      <c r="A453" s="23"/>
      <c r="B453" s="23"/>
      <c r="C453" s="23"/>
      <c r="D453" s="675"/>
      <c r="E453" s="50"/>
      <c r="F453" s="50"/>
      <c r="G453" s="681"/>
      <c r="H453" s="266"/>
      <c r="I453" s="243"/>
      <c r="J453" s="268"/>
      <c r="K453" s="221"/>
      <c r="L453" s="221"/>
      <c r="M453" s="221"/>
      <c r="N453" s="221"/>
      <c r="O453" s="221"/>
      <c r="P453" s="221" t="s">
        <v>253</v>
      </c>
      <c r="Q453" s="221"/>
      <c r="R453" s="213">
        <f>SUM(R448)</f>
        <v>0</v>
      </c>
      <c r="S453" s="172">
        <v>0</v>
      </c>
      <c r="T453" s="7">
        <f>R453-S453</f>
        <v>0</v>
      </c>
    </row>
    <row r="454" spans="1:20" s="169" customFormat="1" ht="15" customHeight="1">
      <c r="A454" s="23"/>
      <c r="B454" s="23"/>
      <c r="C454" s="88"/>
      <c r="D454" s="954" t="s">
        <v>1075</v>
      </c>
      <c r="E454" s="923">
        <v>0</v>
      </c>
      <c r="F454" s="923">
        <v>0</v>
      </c>
      <c r="G454" s="933">
        <f>F454+F456-E454-E456</f>
        <v>3056.63</v>
      </c>
      <c r="H454" s="962" t="e">
        <f>G454/(E454+E456)</f>
        <v>#DIV/0!</v>
      </c>
      <c r="I454" s="223" t="s">
        <v>1077</v>
      </c>
      <c r="J454" s="226"/>
      <c r="K454" s="237"/>
      <c r="L454" s="237"/>
      <c r="M454" s="237"/>
      <c r="N454" s="237"/>
      <c r="O454" s="237"/>
      <c r="P454" s="237"/>
      <c r="Q454" s="237"/>
      <c r="R454" s="217">
        <v>3056630</v>
      </c>
      <c r="S454" s="168"/>
      <c r="T454" s="7"/>
    </row>
    <row r="455" spans="1:20" s="169" customFormat="1" ht="15" customHeight="1">
      <c r="A455" s="23"/>
      <c r="B455" s="23"/>
      <c r="C455" s="23"/>
      <c r="D455" s="955"/>
      <c r="E455" s="918"/>
      <c r="F455" s="918"/>
      <c r="G455" s="935"/>
      <c r="H455" s="964"/>
      <c r="I455" s="218"/>
      <c r="J455" s="180"/>
      <c r="K455" s="713"/>
      <c r="L455" s="219"/>
      <c r="M455" s="713"/>
      <c r="N455" s="713"/>
      <c r="O455" s="713"/>
      <c r="P455" s="713"/>
      <c r="Q455" s="718"/>
      <c r="R455" s="98"/>
      <c r="S455" s="168"/>
      <c r="T455" s="7"/>
    </row>
    <row r="456" spans="1:20" s="169" customFormat="1" ht="15" customHeight="1">
      <c r="A456" s="23"/>
      <c r="B456" s="23"/>
      <c r="C456" s="23"/>
      <c r="D456" s="955"/>
      <c r="E456" s="710">
        <v>0</v>
      </c>
      <c r="F456" s="62">
        <f>T459/1000</f>
        <v>3056.63</v>
      </c>
      <c r="G456" s="935"/>
      <c r="H456" s="964"/>
      <c r="I456" s="218"/>
      <c r="J456" s="180"/>
      <c r="K456" s="718"/>
      <c r="L456" s="60"/>
      <c r="M456" s="718"/>
      <c r="N456" s="718"/>
      <c r="O456" s="718"/>
      <c r="P456" s="718"/>
      <c r="Q456" s="718"/>
      <c r="R456" s="98"/>
      <c r="S456" s="168"/>
      <c r="T456" s="7"/>
    </row>
    <row r="457" spans="1:20" s="169" customFormat="1" ht="15" customHeight="1">
      <c r="A457" s="23"/>
      <c r="B457" s="23"/>
      <c r="C457" s="23"/>
      <c r="D457" s="955"/>
      <c r="E457" s="708"/>
      <c r="F457" s="708"/>
      <c r="G457" s="935"/>
      <c r="H457" s="964"/>
      <c r="I457" s="218"/>
      <c r="J457" s="180"/>
      <c r="K457" s="718"/>
      <c r="L457" s="60"/>
      <c r="M457" s="718"/>
      <c r="N457" s="718"/>
      <c r="O457" s="718"/>
      <c r="P457" s="718"/>
      <c r="Q457" s="718"/>
      <c r="R457" s="98"/>
      <c r="S457" s="168"/>
      <c r="T457" s="7"/>
    </row>
    <row r="458" spans="1:20" s="169" customFormat="1" ht="12">
      <c r="A458" s="23"/>
      <c r="B458" s="23"/>
      <c r="C458" s="23"/>
      <c r="D458" s="716"/>
      <c r="E458" s="708"/>
      <c r="F458" s="708"/>
      <c r="G458" s="715"/>
      <c r="H458" s="711"/>
      <c r="I458" s="218"/>
      <c r="J458" s="180"/>
      <c r="K458" s="718"/>
      <c r="L458" s="60"/>
      <c r="M458" s="718"/>
      <c r="N458" s="718"/>
      <c r="O458" s="718"/>
      <c r="P458" s="718"/>
      <c r="Q458" s="718"/>
      <c r="R458" s="98"/>
      <c r="S458" s="168"/>
      <c r="T458" s="7"/>
    </row>
    <row r="459" spans="1:20" s="169" customFormat="1" ht="15" customHeight="1">
      <c r="A459" s="23"/>
      <c r="B459" s="23"/>
      <c r="C459" s="23"/>
      <c r="D459" s="707"/>
      <c r="E459" s="50"/>
      <c r="F459" s="50"/>
      <c r="G459" s="719"/>
      <c r="H459" s="266"/>
      <c r="I459" s="243"/>
      <c r="J459" s="268"/>
      <c r="K459" s="221"/>
      <c r="L459" s="221"/>
      <c r="M459" s="221"/>
      <c r="N459" s="221"/>
      <c r="O459" s="221"/>
      <c r="P459" s="221" t="s">
        <v>253</v>
      </c>
      <c r="Q459" s="221"/>
      <c r="R459" s="213">
        <f>SUM(R454)</f>
        <v>3056630</v>
      </c>
      <c r="S459" s="172">
        <v>0</v>
      </c>
      <c r="T459" s="7">
        <f>R459-S459</f>
        <v>3056630</v>
      </c>
    </row>
    <row r="460" spans="1:20" s="169" customFormat="1" ht="15" customHeight="1">
      <c r="A460" s="23"/>
      <c r="B460" s="23"/>
      <c r="C460" s="88"/>
      <c r="D460" s="954" t="s">
        <v>1076</v>
      </c>
      <c r="E460" s="923">
        <v>0</v>
      </c>
      <c r="F460" s="923">
        <v>0</v>
      </c>
      <c r="G460" s="933">
        <f>F460+F462-E460-E462</f>
        <v>2306.63</v>
      </c>
      <c r="H460" s="962" t="e">
        <f>G460/(E460+E462)</f>
        <v>#DIV/0!</v>
      </c>
      <c r="I460" s="223" t="s">
        <v>1078</v>
      </c>
      <c r="J460" s="226"/>
      <c r="K460" s="237"/>
      <c r="L460" s="237"/>
      <c r="M460" s="237"/>
      <c r="N460" s="237"/>
      <c r="O460" s="237"/>
      <c r="P460" s="237"/>
      <c r="Q460" s="237"/>
      <c r="R460" s="217">
        <v>2306630</v>
      </c>
      <c r="S460" s="168"/>
      <c r="T460" s="7"/>
    </row>
    <row r="461" spans="1:20" s="169" customFormat="1" ht="15" customHeight="1">
      <c r="A461" s="23"/>
      <c r="B461" s="23"/>
      <c r="C461" s="23"/>
      <c r="D461" s="955"/>
      <c r="E461" s="918"/>
      <c r="F461" s="918"/>
      <c r="G461" s="935"/>
      <c r="H461" s="964"/>
      <c r="I461" s="218"/>
      <c r="J461" s="180"/>
      <c r="K461" s="713"/>
      <c r="L461" s="219"/>
      <c r="M461" s="713"/>
      <c r="N461" s="713"/>
      <c r="O461" s="713"/>
      <c r="P461" s="713"/>
      <c r="Q461" s="718"/>
      <c r="R461" s="98"/>
      <c r="S461" s="168"/>
      <c r="T461" s="7"/>
    </row>
    <row r="462" spans="1:20" s="169" customFormat="1" ht="15" customHeight="1">
      <c r="A462" s="23"/>
      <c r="B462" s="23"/>
      <c r="C462" s="23"/>
      <c r="D462" s="955"/>
      <c r="E462" s="710">
        <v>0</v>
      </c>
      <c r="F462" s="62">
        <f>T465/1000</f>
        <v>2306.63</v>
      </c>
      <c r="G462" s="935"/>
      <c r="H462" s="964"/>
      <c r="I462" s="218"/>
      <c r="J462" s="180"/>
      <c r="K462" s="718"/>
      <c r="L462" s="60"/>
      <c r="M462" s="718"/>
      <c r="N462" s="718"/>
      <c r="O462" s="718"/>
      <c r="P462" s="718"/>
      <c r="Q462" s="718"/>
      <c r="R462" s="98"/>
      <c r="S462" s="168"/>
      <c r="T462" s="7"/>
    </row>
    <row r="463" spans="1:20" s="169" customFormat="1" ht="15" customHeight="1">
      <c r="A463" s="23"/>
      <c r="B463" s="23"/>
      <c r="C463" s="23"/>
      <c r="D463" s="955"/>
      <c r="E463" s="708"/>
      <c r="F463" s="708"/>
      <c r="G463" s="935"/>
      <c r="H463" s="964"/>
      <c r="I463" s="218"/>
      <c r="J463" s="180"/>
      <c r="K463" s="718"/>
      <c r="L463" s="60"/>
      <c r="M463" s="718"/>
      <c r="N463" s="718"/>
      <c r="O463" s="718"/>
      <c r="P463" s="718"/>
      <c r="Q463" s="718"/>
      <c r="R463" s="98"/>
      <c r="S463" s="168"/>
      <c r="T463" s="7"/>
    </row>
    <row r="464" spans="1:20" s="169" customFormat="1" ht="12">
      <c r="A464" s="23"/>
      <c r="B464" s="23"/>
      <c r="C464" s="23"/>
      <c r="D464" s="716"/>
      <c r="E464" s="708"/>
      <c r="F464" s="708"/>
      <c r="G464" s="715"/>
      <c r="H464" s="711"/>
      <c r="I464" s="218"/>
      <c r="J464" s="180"/>
      <c r="K464" s="718"/>
      <c r="L464" s="60"/>
      <c r="M464" s="718"/>
      <c r="N464" s="718"/>
      <c r="O464" s="718"/>
      <c r="P464" s="718"/>
      <c r="Q464" s="718"/>
      <c r="R464" s="98"/>
      <c r="S464" s="168"/>
      <c r="T464" s="7"/>
    </row>
    <row r="465" spans="1:20" s="169" customFormat="1" ht="15" customHeight="1">
      <c r="A465" s="23"/>
      <c r="B465" s="23"/>
      <c r="C465" s="23"/>
      <c r="D465" s="707"/>
      <c r="E465" s="50"/>
      <c r="F465" s="50"/>
      <c r="G465" s="719"/>
      <c r="H465" s="266"/>
      <c r="I465" s="243"/>
      <c r="J465" s="268"/>
      <c r="K465" s="221"/>
      <c r="L465" s="221"/>
      <c r="M465" s="221"/>
      <c r="N465" s="221"/>
      <c r="O465" s="221"/>
      <c r="P465" s="221" t="s">
        <v>253</v>
      </c>
      <c r="Q465" s="221"/>
      <c r="R465" s="213">
        <f>SUM(R460)</f>
        <v>2306630</v>
      </c>
      <c r="S465" s="172">
        <v>0</v>
      </c>
      <c r="T465" s="7">
        <f>R465-S465</f>
        <v>2306630</v>
      </c>
    </row>
    <row r="466" spans="1:20" s="169" customFormat="1" ht="15" customHeight="1">
      <c r="A466" s="23"/>
      <c r="B466" s="23"/>
      <c r="C466" s="88"/>
      <c r="D466" s="954" t="s">
        <v>1012</v>
      </c>
      <c r="E466" s="923">
        <v>0</v>
      </c>
      <c r="F466" s="923">
        <v>0</v>
      </c>
      <c r="G466" s="933">
        <f>F466+F468-E466-E468</f>
        <v>-2908</v>
      </c>
      <c r="H466" s="962">
        <f>G466/(E466+E468)</f>
        <v>-1</v>
      </c>
      <c r="I466" s="223"/>
      <c r="J466" s="226"/>
      <c r="K466" s="237"/>
      <c r="L466" s="237"/>
      <c r="M466" s="237"/>
      <c r="N466" s="237"/>
      <c r="O466" s="237"/>
      <c r="P466" s="237"/>
      <c r="Q466" s="237"/>
      <c r="R466" s="217"/>
      <c r="S466" s="168"/>
      <c r="T466" s="7"/>
    </row>
    <row r="467" spans="1:20" s="169" customFormat="1" ht="15" customHeight="1">
      <c r="A467" s="23"/>
      <c r="B467" s="23"/>
      <c r="C467" s="23"/>
      <c r="D467" s="955"/>
      <c r="E467" s="918"/>
      <c r="F467" s="918"/>
      <c r="G467" s="935"/>
      <c r="H467" s="964"/>
      <c r="I467" s="218"/>
      <c r="J467" s="180"/>
      <c r="K467" s="684"/>
      <c r="L467" s="219"/>
      <c r="M467" s="684"/>
      <c r="N467" s="684"/>
      <c r="O467" s="684"/>
      <c r="P467" s="684"/>
      <c r="Q467" s="688"/>
      <c r="R467" s="98"/>
      <c r="S467" s="168"/>
      <c r="T467" s="7"/>
    </row>
    <row r="468" spans="1:20" s="169" customFormat="1" ht="15" customHeight="1">
      <c r="A468" s="23"/>
      <c r="B468" s="23"/>
      <c r="C468" s="23"/>
      <c r="D468" s="955"/>
      <c r="E468" s="678">
        <v>2908</v>
      </c>
      <c r="F468" s="62">
        <f>T471/1000</f>
        <v>0</v>
      </c>
      <c r="G468" s="935"/>
      <c r="H468" s="964"/>
      <c r="I468" s="218"/>
      <c r="J468" s="180"/>
      <c r="K468" s="688"/>
      <c r="L468" s="60"/>
      <c r="M468" s="688"/>
      <c r="N468" s="688"/>
      <c r="O468" s="688"/>
      <c r="P468" s="688"/>
      <c r="Q468" s="688"/>
      <c r="R468" s="98"/>
      <c r="S468" s="168"/>
      <c r="T468" s="7"/>
    </row>
    <row r="469" spans="1:20" s="169" customFormat="1" ht="15" customHeight="1">
      <c r="A469" s="23"/>
      <c r="B469" s="23"/>
      <c r="C469" s="23"/>
      <c r="D469" s="955"/>
      <c r="E469" s="676"/>
      <c r="F469" s="676"/>
      <c r="G469" s="935"/>
      <c r="H469" s="964"/>
      <c r="I469" s="218"/>
      <c r="J469" s="180"/>
      <c r="K469" s="688"/>
      <c r="L469" s="60"/>
      <c r="M469" s="688"/>
      <c r="N469" s="688"/>
      <c r="O469" s="688"/>
      <c r="P469" s="688"/>
      <c r="Q469" s="688"/>
      <c r="R469" s="98"/>
      <c r="S469" s="168"/>
      <c r="T469" s="7"/>
    </row>
    <row r="470" spans="1:20" s="169" customFormat="1" ht="12">
      <c r="A470" s="23"/>
      <c r="B470" s="23"/>
      <c r="C470" s="23"/>
      <c r="D470" s="683"/>
      <c r="E470" s="676"/>
      <c r="F470" s="676"/>
      <c r="G470" s="682"/>
      <c r="H470" s="687"/>
      <c r="I470" s="218"/>
      <c r="J470" s="180"/>
      <c r="K470" s="688"/>
      <c r="L470" s="60"/>
      <c r="M470" s="688"/>
      <c r="N470" s="688"/>
      <c r="O470" s="688"/>
      <c r="P470" s="688"/>
      <c r="Q470" s="688"/>
      <c r="R470" s="98"/>
      <c r="S470" s="168"/>
      <c r="T470" s="7"/>
    </row>
    <row r="471" spans="1:20" s="169" customFormat="1" ht="15" customHeight="1">
      <c r="A471" s="23"/>
      <c r="B471" s="23"/>
      <c r="C471" s="23"/>
      <c r="D471" s="675"/>
      <c r="E471" s="50"/>
      <c r="F471" s="50"/>
      <c r="G471" s="681"/>
      <c r="H471" s="266"/>
      <c r="I471" s="243"/>
      <c r="J471" s="268"/>
      <c r="K471" s="221"/>
      <c r="L471" s="221"/>
      <c r="M471" s="221"/>
      <c r="N471" s="221"/>
      <c r="O471" s="221"/>
      <c r="P471" s="221" t="s">
        <v>253</v>
      </c>
      <c r="Q471" s="221"/>
      <c r="R471" s="213">
        <f>SUM(R466)</f>
        <v>0</v>
      </c>
      <c r="S471" s="172">
        <v>0</v>
      </c>
      <c r="T471" s="7">
        <f>R471-S471</f>
        <v>0</v>
      </c>
    </row>
    <row r="472" spans="1:20" s="169" customFormat="1" ht="15" customHeight="1">
      <c r="A472" s="23"/>
      <c r="B472" s="23"/>
      <c r="C472" s="88"/>
      <c r="D472" s="955" t="s">
        <v>1013</v>
      </c>
      <c r="E472" s="917">
        <v>0</v>
      </c>
      <c r="F472" s="917">
        <v>0</v>
      </c>
      <c r="G472" s="935">
        <f>F472+F474-E472-E474</f>
        <v>-3839.75</v>
      </c>
      <c r="H472" s="964">
        <f>G472/(E472+E474)</f>
        <v>-0.50324377457404978</v>
      </c>
      <c r="I472" s="218" t="s">
        <v>1087</v>
      </c>
      <c r="J472" s="79"/>
      <c r="K472" s="202"/>
      <c r="L472" s="202"/>
      <c r="M472" s="202"/>
      <c r="N472" s="202"/>
      <c r="O472" s="202"/>
      <c r="P472" s="202"/>
      <c r="Q472" s="202"/>
      <c r="R472" s="98">
        <f>3793372-3122</f>
        <v>3790250</v>
      </c>
      <c r="S472" s="168"/>
      <c r="T472" s="7"/>
    </row>
    <row r="473" spans="1:20" s="169" customFormat="1" ht="15" customHeight="1">
      <c r="A473" s="23"/>
      <c r="B473" s="23"/>
      <c r="C473" s="23"/>
      <c r="D473" s="955"/>
      <c r="E473" s="918"/>
      <c r="F473" s="918"/>
      <c r="G473" s="935"/>
      <c r="H473" s="964"/>
      <c r="I473" s="218"/>
      <c r="J473" s="180"/>
      <c r="K473" s="548"/>
      <c r="L473" s="219"/>
      <c r="M473" s="548"/>
      <c r="N473" s="548"/>
      <c r="O473" s="548"/>
      <c r="P473" s="548"/>
      <c r="Q473" s="550"/>
      <c r="R473" s="98"/>
      <c r="S473" s="168"/>
      <c r="T473" s="7"/>
    </row>
    <row r="474" spans="1:20" s="169" customFormat="1" ht="15" customHeight="1">
      <c r="A474" s="23"/>
      <c r="B474" s="23"/>
      <c r="C474" s="23"/>
      <c r="D474" s="955"/>
      <c r="E474" s="545">
        <v>7630</v>
      </c>
      <c r="F474" s="62">
        <f>T477/1000</f>
        <v>3790.25</v>
      </c>
      <c r="G474" s="935"/>
      <c r="H474" s="964"/>
      <c r="I474" s="218"/>
      <c r="J474" s="180"/>
      <c r="K474" s="550"/>
      <c r="L474" s="60"/>
      <c r="M474" s="550"/>
      <c r="N474" s="550"/>
      <c r="O474" s="550"/>
      <c r="P474" s="550"/>
      <c r="Q474" s="550"/>
      <c r="R474" s="98"/>
      <c r="S474" s="168"/>
      <c r="T474" s="7"/>
    </row>
    <row r="475" spans="1:20" s="169" customFormat="1" ht="15" customHeight="1">
      <c r="A475" s="23"/>
      <c r="B475" s="23"/>
      <c r="C475" s="23"/>
      <c r="D475" s="955"/>
      <c r="E475" s="544"/>
      <c r="F475" s="544"/>
      <c r="G475" s="935"/>
      <c r="H475" s="964"/>
      <c r="I475" s="218"/>
      <c r="J475" s="180"/>
      <c r="K475" s="550"/>
      <c r="L475" s="60"/>
      <c r="M475" s="550"/>
      <c r="N475" s="550"/>
      <c r="O475" s="550"/>
      <c r="P475" s="550"/>
      <c r="Q475" s="550"/>
      <c r="R475" s="98"/>
      <c r="S475" s="168"/>
      <c r="T475" s="7"/>
    </row>
    <row r="476" spans="1:20" s="169" customFormat="1" ht="12">
      <c r="A476" s="23"/>
      <c r="B476" s="23"/>
      <c r="C476" s="23"/>
      <c r="D476" s="556"/>
      <c r="E476" s="544"/>
      <c r="F476" s="544"/>
      <c r="G476" s="547"/>
      <c r="H476" s="549"/>
      <c r="I476" s="218"/>
      <c r="J476" s="180"/>
      <c r="K476" s="550"/>
      <c r="L476" s="60"/>
      <c r="M476" s="550"/>
      <c r="N476" s="550"/>
      <c r="O476" s="550"/>
      <c r="P476" s="550"/>
      <c r="Q476" s="550"/>
      <c r="R476" s="98"/>
      <c r="S476" s="168"/>
      <c r="T476" s="7"/>
    </row>
    <row r="477" spans="1:20" s="169" customFormat="1" ht="15" customHeight="1">
      <c r="A477" s="23"/>
      <c r="B477" s="23"/>
      <c r="C477" s="23"/>
      <c r="D477" s="23"/>
      <c r="E477" s="44"/>
      <c r="F477" s="44"/>
      <c r="G477" s="547"/>
      <c r="H477" s="233"/>
      <c r="I477" s="218"/>
      <c r="J477" s="180"/>
      <c r="K477" s="202"/>
      <c r="L477" s="202"/>
      <c r="M477" s="202"/>
      <c r="N477" s="202"/>
      <c r="O477" s="202"/>
      <c r="P477" s="221" t="s">
        <v>253</v>
      </c>
      <c r="Q477" s="221"/>
      <c r="R477" s="213">
        <f>SUM(R472)</f>
        <v>3790250</v>
      </c>
      <c r="S477" s="172">
        <v>0</v>
      </c>
      <c r="T477" s="7">
        <f>R477-S477</f>
        <v>3790250</v>
      </c>
    </row>
    <row r="478" spans="1:20" s="169" customFormat="1" ht="15" customHeight="1">
      <c r="A478" s="23"/>
      <c r="B478" s="23"/>
      <c r="C478" s="939" t="s">
        <v>254</v>
      </c>
      <c r="D478" s="106"/>
      <c r="E478" s="235">
        <f>E480+E498</f>
        <v>0</v>
      </c>
      <c r="F478" s="235">
        <f>F480+F498</f>
        <v>0</v>
      </c>
      <c r="G478" s="505">
        <f>F478+F479-E478-E479</f>
        <v>-10104.610999999975</v>
      </c>
      <c r="H478" s="513">
        <f>G478/(E478+E479)</f>
        <v>-2.7479164797032451E-2</v>
      </c>
      <c r="I478" s="106"/>
      <c r="J478" s="107"/>
      <c r="K478" s="28"/>
      <c r="L478" s="28"/>
      <c r="M478" s="28"/>
      <c r="N478" s="28"/>
      <c r="O478" s="28"/>
      <c r="P478" s="28"/>
      <c r="Q478" s="28"/>
      <c r="R478" s="236"/>
      <c r="S478" s="172"/>
      <c r="T478" s="7"/>
    </row>
    <row r="479" spans="1:20" s="169" customFormat="1" ht="15" customHeight="1">
      <c r="A479" s="23"/>
      <c r="B479" s="23"/>
      <c r="C479" s="961"/>
      <c r="D479" s="35"/>
      <c r="E479" s="30">
        <f>E482+E500+E575+E656+E650</f>
        <v>367719</v>
      </c>
      <c r="F479" s="30">
        <f>F482+F500+F575+F656+F650</f>
        <v>357614.38900000002</v>
      </c>
      <c r="G479" s="533"/>
      <c r="H479" s="521"/>
      <c r="I479" s="35"/>
      <c r="J479" s="21"/>
      <c r="K479" s="20"/>
      <c r="L479" s="20"/>
      <c r="M479" s="20"/>
      <c r="N479" s="20"/>
      <c r="O479" s="20"/>
      <c r="P479" s="20"/>
      <c r="Q479" s="20"/>
      <c r="R479" s="203"/>
      <c r="S479" s="172">
        <f>SUM(S480:S660)</f>
        <v>0</v>
      </c>
      <c r="T479" s="172">
        <f>SUM(T480:T660)</f>
        <v>357614389</v>
      </c>
    </row>
    <row r="480" spans="1:20" s="169" customFormat="1" ht="15" customHeight="1">
      <c r="A480" s="23"/>
      <c r="B480" s="23"/>
      <c r="C480" s="173"/>
      <c r="D480" s="943" t="s">
        <v>255</v>
      </c>
      <c r="E480" s="503">
        <v>0</v>
      </c>
      <c r="F480" s="503">
        <f>S497/1000</f>
        <v>0</v>
      </c>
      <c r="G480" s="505">
        <f>F480+F482-E480-E482</f>
        <v>14366.240000000002</v>
      </c>
      <c r="H480" s="513">
        <f>G480/(E480+E482)</f>
        <v>2.0050579204466157</v>
      </c>
      <c r="I480" s="237" t="s">
        <v>675</v>
      </c>
      <c r="J480" s="238"/>
      <c r="K480" s="239"/>
      <c r="L480" s="239"/>
      <c r="M480" s="239"/>
      <c r="N480" s="239"/>
      <c r="O480" s="239"/>
      <c r="P480" s="239"/>
      <c r="Q480" s="239"/>
      <c r="R480" s="217">
        <f>R481+R482+R483</f>
        <v>3075000</v>
      </c>
      <c r="S480" s="172"/>
      <c r="T480" s="7"/>
    </row>
    <row r="481" spans="1:20" s="169" customFormat="1" ht="15" customHeight="1">
      <c r="A481" s="23"/>
      <c r="B481" s="23"/>
      <c r="C481" s="88"/>
      <c r="D481" s="942"/>
      <c r="E481" s="512"/>
      <c r="F481" s="512"/>
      <c r="G481" s="240"/>
      <c r="H481" s="240"/>
      <c r="I481" s="20" t="s">
        <v>256</v>
      </c>
      <c r="J481" s="63">
        <v>10000</v>
      </c>
      <c r="K481" s="20" t="s">
        <v>24</v>
      </c>
      <c r="L481" s="20">
        <v>4</v>
      </c>
      <c r="M481" s="20" t="s">
        <v>33</v>
      </c>
      <c r="N481" s="20" t="s">
        <v>24</v>
      </c>
      <c r="O481" s="20">
        <v>48</v>
      </c>
      <c r="P481" s="20" t="s">
        <v>25</v>
      </c>
      <c r="Q481" s="20" t="s">
        <v>22</v>
      </c>
      <c r="R481" s="241">
        <f>J481*L481*O481</f>
        <v>1920000</v>
      </c>
      <c r="S481" s="172"/>
      <c r="T481" s="7"/>
    </row>
    <row r="482" spans="1:20" s="169" customFormat="1" ht="15" customHeight="1">
      <c r="A482" s="23"/>
      <c r="B482" s="23"/>
      <c r="C482" s="23"/>
      <c r="D482" s="942"/>
      <c r="E482" s="503">
        <v>7165</v>
      </c>
      <c r="F482" s="62">
        <f>T497/1000</f>
        <v>21531.24</v>
      </c>
      <c r="G482" s="240"/>
      <c r="H482" s="240"/>
      <c r="I482" s="20" t="s">
        <v>964</v>
      </c>
      <c r="J482" s="63">
        <v>55000</v>
      </c>
      <c r="K482" s="20" t="s">
        <v>24</v>
      </c>
      <c r="L482" s="20">
        <v>1</v>
      </c>
      <c r="M482" s="20" t="s">
        <v>25</v>
      </c>
      <c r="N482" s="20"/>
      <c r="O482" s="20"/>
      <c r="P482" s="20"/>
      <c r="Q482" s="20" t="s">
        <v>22</v>
      </c>
      <c r="R482" s="241">
        <f>J482*L482</f>
        <v>55000</v>
      </c>
      <c r="S482" s="172"/>
      <c r="T482" s="7"/>
    </row>
    <row r="483" spans="1:20" s="169" customFormat="1" ht="15" customHeight="1">
      <c r="A483" s="23"/>
      <c r="B483" s="23"/>
      <c r="C483" s="23"/>
      <c r="D483" s="942"/>
      <c r="E483" s="228"/>
      <c r="F483" s="228"/>
      <c r="G483" s="240"/>
      <c r="H483" s="240"/>
      <c r="I483" s="20" t="s">
        <v>1225</v>
      </c>
      <c r="J483" s="63">
        <v>20000</v>
      </c>
      <c r="K483" s="20" t="s">
        <v>24</v>
      </c>
      <c r="L483" s="20">
        <v>5</v>
      </c>
      <c r="M483" s="20" t="s">
        <v>33</v>
      </c>
      <c r="N483" s="20" t="s">
        <v>24</v>
      </c>
      <c r="O483" s="20">
        <v>11</v>
      </c>
      <c r="P483" s="20" t="s">
        <v>25</v>
      </c>
      <c r="Q483" s="20" t="s">
        <v>22</v>
      </c>
      <c r="R483" s="241">
        <f>J483*L483*O483</f>
        <v>1100000</v>
      </c>
      <c r="S483" s="172"/>
      <c r="T483" s="7"/>
    </row>
    <row r="484" spans="1:20" s="169" customFormat="1" ht="15" customHeight="1">
      <c r="A484" s="23"/>
      <c r="B484" s="23"/>
      <c r="C484" s="23"/>
      <c r="D484" s="942"/>
      <c r="E484" s="228"/>
      <c r="F484" s="228"/>
      <c r="G484" s="240"/>
      <c r="H484" s="240"/>
      <c r="I484" s="20" t="s">
        <v>674</v>
      </c>
      <c r="J484" s="63"/>
      <c r="K484" s="20"/>
      <c r="L484" s="20"/>
      <c r="M484" s="20"/>
      <c r="N484" s="20"/>
      <c r="O484" s="20"/>
      <c r="P484" s="20"/>
      <c r="Q484" s="20"/>
      <c r="R484" s="241">
        <f>R485+R486+R488+R487+R489</f>
        <v>18456240</v>
      </c>
      <c r="S484" s="168"/>
      <c r="T484" s="7"/>
    </row>
    <row r="485" spans="1:20" s="169" customFormat="1" ht="15" customHeight="1">
      <c r="A485" s="23"/>
      <c r="B485" s="23"/>
      <c r="C485" s="23"/>
      <c r="D485" s="942"/>
      <c r="E485" s="228"/>
      <c r="F485" s="228"/>
      <c r="G485" s="240"/>
      <c r="H485" s="240"/>
      <c r="I485" s="20" t="s">
        <v>258</v>
      </c>
      <c r="J485" s="63">
        <v>40000</v>
      </c>
      <c r="K485" s="20" t="s">
        <v>20</v>
      </c>
      <c r="L485" s="20">
        <v>15</v>
      </c>
      <c r="M485" s="20" t="s">
        <v>21</v>
      </c>
      <c r="N485" s="20"/>
      <c r="O485" s="20"/>
      <c r="P485" s="20"/>
      <c r="Q485" s="20" t="s">
        <v>22</v>
      </c>
      <c r="R485" s="241">
        <f>J485*L485</f>
        <v>600000</v>
      </c>
      <c r="S485" s="168"/>
      <c r="T485" s="7"/>
    </row>
    <row r="486" spans="1:20" s="169" customFormat="1" ht="15" customHeight="1">
      <c r="A486" s="23"/>
      <c r="B486" s="23"/>
      <c r="C486" s="23"/>
      <c r="D486" s="942"/>
      <c r="E486" s="228"/>
      <c r="F486" s="228"/>
      <c r="G486" s="240"/>
      <c r="H486" s="240"/>
      <c r="I486" s="20" t="s">
        <v>676</v>
      </c>
      <c r="J486" s="63">
        <v>17000</v>
      </c>
      <c r="K486" s="20" t="s">
        <v>20</v>
      </c>
      <c r="L486" s="20">
        <v>24</v>
      </c>
      <c r="M486" s="20" t="s">
        <v>260</v>
      </c>
      <c r="N486" s="20" t="s">
        <v>20</v>
      </c>
      <c r="O486" s="20">
        <v>15</v>
      </c>
      <c r="P486" s="20" t="s">
        <v>21</v>
      </c>
      <c r="Q486" s="20" t="s">
        <v>22</v>
      </c>
      <c r="R486" s="241">
        <f>J486*L486*O486</f>
        <v>6120000</v>
      </c>
      <c r="S486" s="168"/>
      <c r="T486" s="7"/>
    </row>
    <row r="487" spans="1:20" s="169" customFormat="1" ht="15" customHeight="1">
      <c r="A487" s="23"/>
      <c r="B487" s="23"/>
      <c r="C487" s="23"/>
      <c r="D487" s="942"/>
      <c r="E487" s="228"/>
      <c r="F487" s="228"/>
      <c r="G487" s="240"/>
      <c r="H487" s="240"/>
      <c r="I487" s="20" t="s">
        <v>261</v>
      </c>
      <c r="J487" s="63">
        <v>10000</v>
      </c>
      <c r="K487" s="20" t="s">
        <v>20</v>
      </c>
      <c r="L487" s="20">
        <v>20</v>
      </c>
      <c r="M487" s="20" t="s">
        <v>260</v>
      </c>
      <c r="N487" s="20" t="s">
        <v>20</v>
      </c>
      <c r="O487" s="127">
        <v>0.30120000000000002</v>
      </c>
      <c r="P487" s="20" t="s">
        <v>19</v>
      </c>
      <c r="Q487" s="20" t="s">
        <v>22</v>
      </c>
      <c r="R487" s="241">
        <f>J487*L487*O487</f>
        <v>60240.000000000007</v>
      </c>
      <c r="S487" s="168"/>
      <c r="T487" s="7"/>
    </row>
    <row r="488" spans="1:20" s="169" customFormat="1" ht="15" customHeight="1">
      <c r="A488" s="23"/>
      <c r="B488" s="23"/>
      <c r="C488" s="23"/>
      <c r="D488" s="942"/>
      <c r="E488" s="228"/>
      <c r="F488" s="228"/>
      <c r="G488" s="240"/>
      <c r="H488" s="240"/>
      <c r="I488" s="20" t="s">
        <v>677</v>
      </c>
      <c r="J488" s="63">
        <v>386800</v>
      </c>
      <c r="K488" s="20" t="s">
        <v>20</v>
      </c>
      <c r="L488" s="20">
        <v>15</v>
      </c>
      <c r="M488" s="20" t="s">
        <v>21</v>
      </c>
      <c r="N488" s="20" t="s">
        <v>20</v>
      </c>
      <c r="O488" s="20">
        <v>1</v>
      </c>
      <c r="P488" s="20" t="s">
        <v>19</v>
      </c>
      <c r="Q488" s="20" t="s">
        <v>22</v>
      </c>
      <c r="R488" s="241">
        <f>J488*L488*O488</f>
        <v>5802000</v>
      </c>
      <c r="S488" s="168"/>
      <c r="T488" s="7"/>
    </row>
    <row r="489" spans="1:20" s="169" customFormat="1" ht="15" customHeight="1">
      <c r="A489" s="23"/>
      <c r="B489" s="23"/>
      <c r="C489" s="23"/>
      <c r="D489" s="942"/>
      <c r="E489" s="228"/>
      <c r="F489" s="228"/>
      <c r="G489" s="240"/>
      <c r="H489" s="240"/>
      <c r="I489" s="20" t="s">
        <v>678</v>
      </c>
      <c r="J489" s="63">
        <v>391600</v>
      </c>
      <c r="K489" s="20" t="s">
        <v>20</v>
      </c>
      <c r="L489" s="20">
        <v>15</v>
      </c>
      <c r="M489" s="20" t="s">
        <v>21</v>
      </c>
      <c r="N489" s="20" t="s">
        <v>20</v>
      </c>
      <c r="O489" s="20">
        <v>1</v>
      </c>
      <c r="P489" s="20" t="s">
        <v>19</v>
      </c>
      <c r="Q489" s="20" t="s">
        <v>22</v>
      </c>
      <c r="R489" s="241">
        <f>J489*L489*O489</f>
        <v>5874000</v>
      </c>
      <c r="S489" s="168"/>
      <c r="T489" s="7"/>
    </row>
    <row r="490" spans="1:20" s="169" customFormat="1" ht="15" hidden="1" customHeight="1">
      <c r="A490" s="23"/>
      <c r="B490" s="924"/>
      <c r="C490" s="23"/>
      <c r="D490" s="942"/>
      <c r="E490" s="228"/>
      <c r="F490" s="228"/>
      <c r="G490" s="506"/>
      <c r="H490" s="511"/>
      <c r="I490" s="202" t="s">
        <v>257</v>
      </c>
      <c r="J490" s="180"/>
      <c r="K490" s="532"/>
      <c r="L490" s="532"/>
      <c r="M490" s="532"/>
      <c r="N490" s="532"/>
      <c r="O490" s="532"/>
      <c r="P490" s="532"/>
      <c r="Q490" s="532"/>
      <c r="R490" s="98">
        <f>SUM(R491:R495)</f>
        <v>0</v>
      </c>
      <c r="S490" s="168"/>
      <c r="T490" s="7"/>
    </row>
    <row r="491" spans="1:20" s="169" customFormat="1" ht="15" hidden="1" customHeight="1">
      <c r="A491" s="23"/>
      <c r="B491" s="901"/>
      <c r="C491" s="23"/>
      <c r="D491" s="23"/>
      <c r="E491" s="242"/>
      <c r="F491" s="242"/>
      <c r="G491" s="506"/>
      <c r="H491" s="511"/>
      <c r="I491" s="202" t="s">
        <v>258</v>
      </c>
      <c r="J491" s="180">
        <v>40000</v>
      </c>
      <c r="K491" s="532" t="s">
        <v>24</v>
      </c>
      <c r="L491" s="20">
        <v>0</v>
      </c>
      <c r="M491" s="20" t="s">
        <v>33</v>
      </c>
      <c r="N491" s="20"/>
      <c r="O491" s="20"/>
      <c r="P491" s="20"/>
      <c r="Q491" s="20" t="s">
        <v>22</v>
      </c>
      <c r="R491" s="241">
        <f>J491*L491</f>
        <v>0</v>
      </c>
      <c r="S491" s="168"/>
      <c r="T491" s="7"/>
    </row>
    <row r="492" spans="1:20" s="169" customFormat="1" ht="15" hidden="1" customHeight="1">
      <c r="A492" s="23"/>
      <c r="B492" s="23"/>
      <c r="C492" s="23"/>
      <c r="D492" s="23"/>
      <c r="E492" s="44"/>
      <c r="F492" s="44"/>
      <c r="G492" s="506"/>
      <c r="H492" s="511"/>
      <c r="I492" s="202" t="s">
        <v>259</v>
      </c>
      <c r="J492" s="180">
        <v>17000</v>
      </c>
      <c r="K492" s="532" t="s">
        <v>24</v>
      </c>
      <c r="L492" s="20">
        <v>0</v>
      </c>
      <c r="M492" s="20" t="s">
        <v>260</v>
      </c>
      <c r="N492" s="20" t="s">
        <v>24</v>
      </c>
      <c r="O492" s="20">
        <v>6</v>
      </c>
      <c r="P492" s="20" t="s">
        <v>33</v>
      </c>
      <c r="Q492" s="20" t="s">
        <v>22</v>
      </c>
      <c r="R492" s="241">
        <f>J492*L492*O492</f>
        <v>0</v>
      </c>
      <c r="S492" s="168"/>
      <c r="T492" s="7"/>
    </row>
    <row r="493" spans="1:20" s="169" customFormat="1" ht="15" hidden="1" customHeight="1">
      <c r="A493" s="23"/>
      <c r="B493" s="23"/>
      <c r="C493" s="23"/>
      <c r="D493" s="20"/>
      <c r="E493" s="44"/>
      <c r="F493" s="44"/>
      <c r="G493" s="506"/>
      <c r="H493" s="511"/>
      <c r="I493" s="202" t="s">
        <v>261</v>
      </c>
      <c r="J493" s="947">
        <v>0</v>
      </c>
      <c r="K493" s="947"/>
      <c r="L493" s="947"/>
      <c r="M493" s="947"/>
      <c r="N493" s="947"/>
      <c r="O493" s="947"/>
      <c r="P493" s="947"/>
      <c r="Q493" s="20" t="s">
        <v>22</v>
      </c>
      <c r="R493" s="241">
        <v>0</v>
      </c>
      <c r="S493" s="168"/>
      <c r="T493" s="7"/>
    </row>
    <row r="494" spans="1:20" s="169" customFormat="1" ht="15" hidden="1" customHeight="1">
      <c r="A494" s="23"/>
      <c r="B494" s="23"/>
      <c r="C494" s="23"/>
      <c r="D494" s="158"/>
      <c r="E494" s="44"/>
      <c r="F494" s="44"/>
      <c r="G494" s="506"/>
      <c r="H494" s="511"/>
      <c r="I494" s="202" t="s">
        <v>262</v>
      </c>
      <c r="J494" s="79">
        <v>19340</v>
      </c>
      <c r="K494" s="79" t="s">
        <v>24</v>
      </c>
      <c r="L494" s="79">
        <v>20</v>
      </c>
      <c r="M494" s="79" t="s">
        <v>260</v>
      </c>
      <c r="N494" s="79" t="s">
        <v>24</v>
      </c>
      <c r="O494" s="79">
        <v>0</v>
      </c>
      <c r="P494" s="79" t="s">
        <v>33</v>
      </c>
      <c r="Q494" s="20" t="s">
        <v>22</v>
      </c>
      <c r="R494" s="241">
        <f>J494*L494*O494</f>
        <v>0</v>
      </c>
      <c r="S494" s="168"/>
      <c r="T494" s="7"/>
    </row>
    <row r="495" spans="1:20" s="169" customFormat="1" ht="15" hidden="1" customHeight="1">
      <c r="A495" s="23"/>
      <c r="B495" s="23"/>
      <c r="C495" s="23"/>
      <c r="D495" s="158"/>
      <c r="E495" s="44"/>
      <c r="F495" s="44"/>
      <c r="G495" s="506"/>
      <c r="H495" s="511"/>
      <c r="I495" s="202" t="s">
        <v>263</v>
      </c>
      <c r="J495" s="180">
        <v>391600</v>
      </c>
      <c r="K495" s="532" t="s">
        <v>24</v>
      </c>
      <c r="L495" s="20">
        <v>0</v>
      </c>
      <c r="M495" s="20" t="s">
        <v>33</v>
      </c>
      <c r="N495" s="20"/>
      <c r="O495" s="20"/>
      <c r="P495" s="20"/>
      <c r="Q495" s="20" t="s">
        <v>22</v>
      </c>
      <c r="R495" s="98">
        <f>J495*L495</f>
        <v>0</v>
      </c>
      <c r="S495" s="168"/>
      <c r="T495" s="7"/>
    </row>
    <row r="496" spans="1:20" s="169" customFormat="1" ht="15" hidden="1" customHeight="1">
      <c r="A496" s="23"/>
      <c r="B496" s="23"/>
      <c r="C496" s="23"/>
      <c r="D496" s="158"/>
      <c r="E496" s="44"/>
      <c r="F496" s="44"/>
      <c r="G496" s="506"/>
      <c r="H496" s="511"/>
      <c r="I496" s="202"/>
      <c r="J496" s="180"/>
      <c r="K496" s="532"/>
      <c r="L496" s="20"/>
      <c r="M496" s="20"/>
      <c r="N496" s="20"/>
      <c r="O496" s="20"/>
      <c r="P496" s="20"/>
      <c r="Q496" s="20"/>
      <c r="R496" s="98"/>
      <c r="S496" s="168"/>
      <c r="T496" s="7"/>
    </row>
    <row r="497" spans="1:20" s="169" customFormat="1" ht="15" customHeight="1">
      <c r="A497" s="23"/>
      <c r="B497" s="23"/>
      <c r="C497" s="23"/>
      <c r="D497" s="158"/>
      <c r="E497" s="50"/>
      <c r="F497" s="50"/>
      <c r="G497" s="533"/>
      <c r="H497" s="521"/>
      <c r="I497" s="243"/>
      <c r="J497" s="244"/>
      <c r="K497" s="222"/>
      <c r="L497" s="222"/>
      <c r="M497" s="222"/>
      <c r="N497" s="222"/>
      <c r="O497" s="222"/>
      <c r="P497" s="222"/>
      <c r="Q497" s="222" t="s">
        <v>23</v>
      </c>
      <c r="R497" s="213">
        <f>R480+R484</f>
        <v>21531240</v>
      </c>
      <c r="S497" s="168">
        <v>0</v>
      </c>
      <c r="T497" s="7">
        <f>R497-S497</f>
        <v>21531240</v>
      </c>
    </row>
    <row r="498" spans="1:20" s="169" customFormat="1" ht="15" customHeight="1">
      <c r="A498" s="23"/>
      <c r="B498" s="23"/>
      <c r="C498" s="88"/>
      <c r="D498" s="955" t="s">
        <v>555</v>
      </c>
      <c r="E498" s="917">
        <v>0</v>
      </c>
      <c r="F498" s="917">
        <f>S561/1000</f>
        <v>0</v>
      </c>
      <c r="G498" s="935">
        <f>F498+F500-E498-E500</f>
        <v>-2279.0899999999965</v>
      </c>
      <c r="H498" s="964">
        <f>G498/(E498+E500)</f>
        <v>-1.3485979041048046E-2</v>
      </c>
      <c r="I498" s="671" t="s">
        <v>664</v>
      </c>
      <c r="J498" s="226"/>
      <c r="K498" s="28"/>
      <c r="L498" s="28"/>
      <c r="M498" s="28"/>
      <c r="N498" s="28"/>
      <c r="O498" s="28"/>
      <c r="P498" s="28"/>
      <c r="Q498" s="28"/>
      <c r="R498" s="217">
        <f>SUM(R499:R511)</f>
        <v>3062000</v>
      </c>
      <c r="S498" s="168"/>
      <c r="T498" s="7"/>
    </row>
    <row r="499" spans="1:20" s="169" customFormat="1" ht="15" customHeight="1">
      <c r="A499" s="23"/>
      <c r="B499" s="23"/>
      <c r="C499" s="23"/>
      <c r="D499" s="965"/>
      <c r="E499" s="917"/>
      <c r="F499" s="917"/>
      <c r="G499" s="935"/>
      <c r="H499" s="964"/>
      <c r="I499" s="218" t="s">
        <v>672</v>
      </c>
      <c r="J499" s="180">
        <v>100000</v>
      </c>
      <c r="K499" s="532" t="s">
        <v>20</v>
      </c>
      <c r="L499" s="60">
        <v>1</v>
      </c>
      <c r="M499" s="532" t="s">
        <v>25</v>
      </c>
      <c r="N499" s="532"/>
      <c r="O499" s="532"/>
      <c r="P499" s="532"/>
      <c r="Q499" s="532" t="s">
        <v>22</v>
      </c>
      <c r="R499" s="98">
        <f>J499*L499</f>
        <v>100000</v>
      </c>
      <c r="S499" s="168"/>
      <c r="T499" s="7"/>
    </row>
    <row r="500" spans="1:20" s="169" customFormat="1" ht="15" customHeight="1">
      <c r="A500" s="23"/>
      <c r="B500" s="23"/>
      <c r="C500" s="23"/>
      <c r="D500" s="965"/>
      <c r="E500" s="923">
        <v>168997</v>
      </c>
      <c r="F500" s="923">
        <f>T561/1000</f>
        <v>166717.91</v>
      </c>
      <c r="G500" s="935"/>
      <c r="H500" s="964"/>
      <c r="I500" s="218" t="s">
        <v>1226</v>
      </c>
      <c r="J500" s="180"/>
      <c r="K500" s="659"/>
      <c r="L500" s="60"/>
      <c r="M500" s="659"/>
      <c r="N500" s="659"/>
      <c r="O500" s="659"/>
      <c r="P500" s="659"/>
      <c r="Q500" s="659"/>
      <c r="R500" s="98"/>
      <c r="S500" s="168"/>
      <c r="T500" s="7"/>
    </row>
    <row r="501" spans="1:20" s="169" customFormat="1" ht="15" customHeight="1">
      <c r="A501" s="23"/>
      <c r="B501" s="23"/>
      <c r="C501" s="23"/>
      <c r="D501" s="965"/>
      <c r="E501" s="917"/>
      <c r="F501" s="917"/>
      <c r="G501" s="935"/>
      <c r="H501" s="964"/>
      <c r="I501" s="218" t="s">
        <v>925</v>
      </c>
      <c r="J501" s="180">
        <v>30000</v>
      </c>
      <c r="K501" s="532" t="s">
        <v>20</v>
      </c>
      <c r="L501" s="60">
        <v>6</v>
      </c>
      <c r="M501" s="532" t="s">
        <v>21</v>
      </c>
      <c r="N501" s="532"/>
      <c r="O501" s="532"/>
      <c r="P501" s="532"/>
      <c r="Q501" s="532" t="s">
        <v>22</v>
      </c>
      <c r="R501" s="98">
        <f>J501*L501</f>
        <v>180000</v>
      </c>
      <c r="S501" s="168"/>
      <c r="T501" s="7"/>
    </row>
    <row r="502" spans="1:20" s="169" customFormat="1" ht="15" customHeight="1">
      <c r="A502" s="23"/>
      <c r="B502" s="22"/>
      <c r="C502" s="35"/>
      <c r="D502" s="34"/>
      <c r="E502" s="44"/>
      <c r="F502" s="44"/>
      <c r="G502" s="506"/>
      <c r="H502" s="233"/>
      <c r="I502" s="218" t="s">
        <v>917</v>
      </c>
      <c r="J502" s="180">
        <v>5000</v>
      </c>
      <c r="K502" s="532" t="s">
        <v>20</v>
      </c>
      <c r="L502" s="60">
        <v>6</v>
      </c>
      <c r="M502" s="532" t="s">
        <v>25</v>
      </c>
      <c r="N502" s="532" t="s">
        <v>856</v>
      </c>
      <c r="O502" s="60">
        <v>6</v>
      </c>
      <c r="P502" s="532" t="s">
        <v>848</v>
      </c>
      <c r="Q502" s="532" t="s">
        <v>22</v>
      </c>
      <c r="R502" s="98">
        <f>J502*L502*O502</f>
        <v>180000</v>
      </c>
      <c r="S502" s="168"/>
      <c r="T502" s="7"/>
    </row>
    <row r="503" spans="1:20" s="169" customFormat="1" ht="15" customHeight="1">
      <c r="A503" s="23"/>
      <c r="B503" s="22"/>
      <c r="C503" s="35"/>
      <c r="D503" s="34"/>
      <c r="E503" s="44"/>
      <c r="F503" s="44"/>
      <c r="G503" s="506"/>
      <c r="H503" s="233"/>
      <c r="I503" s="218" t="s">
        <v>918</v>
      </c>
      <c r="J503" s="180"/>
      <c r="K503" s="532"/>
      <c r="L503" s="60"/>
      <c r="M503" s="532"/>
      <c r="N503" s="532"/>
      <c r="O503" s="532"/>
      <c r="P503" s="532"/>
      <c r="Q503" s="532"/>
      <c r="R503" s="98"/>
      <c r="S503" s="168"/>
      <c r="T503" s="7"/>
    </row>
    <row r="504" spans="1:20" s="169" customFormat="1" ht="15" customHeight="1">
      <c r="A504" s="23"/>
      <c r="B504" s="22"/>
      <c r="C504" s="35"/>
      <c r="D504" s="34"/>
      <c r="E504" s="44"/>
      <c r="F504" s="44"/>
      <c r="G504" s="506"/>
      <c r="H504" s="233"/>
      <c r="I504" s="218" t="s">
        <v>669</v>
      </c>
      <c r="J504" s="180">
        <v>15000</v>
      </c>
      <c r="K504" s="659" t="s">
        <v>20</v>
      </c>
      <c r="L504" s="60">
        <v>10</v>
      </c>
      <c r="M504" s="659" t="s">
        <v>21</v>
      </c>
      <c r="N504" s="659" t="s">
        <v>856</v>
      </c>
      <c r="O504" s="60">
        <v>4</v>
      </c>
      <c r="P504" s="659" t="s">
        <v>848</v>
      </c>
      <c r="Q504" s="659" t="s">
        <v>22</v>
      </c>
      <c r="R504" s="98">
        <f>J504*L504*O504</f>
        <v>600000</v>
      </c>
      <c r="S504" s="168"/>
      <c r="T504" s="7"/>
    </row>
    <row r="505" spans="1:20" s="169" customFormat="1" ht="15" customHeight="1">
      <c r="A505" s="23"/>
      <c r="B505" s="22"/>
      <c r="C505" s="35"/>
      <c r="D505" s="34"/>
      <c r="E505" s="44"/>
      <c r="F505" s="44"/>
      <c r="G505" s="506"/>
      <c r="H505" s="233"/>
      <c r="I505" s="218" t="s">
        <v>919</v>
      </c>
      <c r="J505" s="180">
        <v>3000</v>
      </c>
      <c r="K505" s="659" t="s">
        <v>20</v>
      </c>
      <c r="L505" s="60">
        <v>10</v>
      </c>
      <c r="M505" s="659" t="s">
        <v>926</v>
      </c>
      <c r="N505" s="659" t="s">
        <v>856</v>
      </c>
      <c r="O505" s="60">
        <v>4</v>
      </c>
      <c r="P505" s="659" t="s">
        <v>848</v>
      </c>
      <c r="Q505" s="659" t="s">
        <v>22</v>
      </c>
      <c r="R505" s="98">
        <f>J505*L505*O505</f>
        <v>120000</v>
      </c>
      <c r="S505" s="168"/>
      <c r="T505" s="7"/>
    </row>
    <row r="506" spans="1:20" s="169" customFormat="1" ht="15" customHeight="1">
      <c r="A506" s="23"/>
      <c r="B506" s="22"/>
      <c r="C506" s="35"/>
      <c r="D506" s="34"/>
      <c r="E506" s="44"/>
      <c r="F506" s="44"/>
      <c r="G506" s="563"/>
      <c r="H506" s="233"/>
      <c r="I506" s="218" t="s">
        <v>920</v>
      </c>
      <c r="J506" s="180"/>
      <c r="K506" s="564"/>
      <c r="L506" s="60"/>
      <c r="M506" s="564"/>
      <c r="N506" s="564"/>
      <c r="O506" s="564"/>
      <c r="P506" s="564"/>
      <c r="Q506" s="564"/>
      <c r="R506" s="98"/>
      <c r="S506" s="168"/>
      <c r="T506" s="7"/>
    </row>
    <row r="507" spans="1:20" s="169" customFormat="1" ht="15" customHeight="1">
      <c r="A507" s="23"/>
      <c r="B507" s="22"/>
      <c r="C507" s="35"/>
      <c r="D507" s="34"/>
      <c r="E507" s="44"/>
      <c r="F507" s="44"/>
      <c r="G507" s="649"/>
      <c r="H507" s="233"/>
      <c r="I507" s="218" t="s">
        <v>921</v>
      </c>
      <c r="J507" s="180">
        <v>30000</v>
      </c>
      <c r="K507" s="659" t="s">
        <v>20</v>
      </c>
      <c r="L507" s="60">
        <v>11</v>
      </c>
      <c r="M507" s="659" t="s">
        <v>21</v>
      </c>
      <c r="N507" s="659" t="s">
        <v>856</v>
      </c>
      <c r="O507" s="60">
        <v>2</v>
      </c>
      <c r="P507" s="659" t="s">
        <v>848</v>
      </c>
      <c r="Q507" s="659" t="s">
        <v>22</v>
      </c>
      <c r="R507" s="98">
        <f>J507*L507*O507</f>
        <v>660000</v>
      </c>
      <c r="S507" s="168"/>
      <c r="T507" s="7"/>
    </row>
    <row r="508" spans="1:20" s="169" customFormat="1" ht="15" customHeight="1">
      <c r="A508" s="23"/>
      <c r="B508" s="22"/>
      <c r="C508" s="35"/>
      <c r="D508" s="34"/>
      <c r="E508" s="44"/>
      <c r="F508" s="44"/>
      <c r="G508" s="649"/>
      <c r="H508" s="233"/>
      <c r="I508" s="218" t="s">
        <v>922</v>
      </c>
      <c r="J508" s="180">
        <v>15000</v>
      </c>
      <c r="K508" s="659" t="s">
        <v>20</v>
      </c>
      <c r="L508" s="60">
        <v>11</v>
      </c>
      <c r="M508" s="659" t="s">
        <v>926</v>
      </c>
      <c r="N508" s="659" t="s">
        <v>856</v>
      </c>
      <c r="O508" s="60">
        <v>2</v>
      </c>
      <c r="P508" s="659" t="s">
        <v>848</v>
      </c>
      <c r="Q508" s="659" t="s">
        <v>22</v>
      </c>
      <c r="R508" s="98">
        <f>J508*L508*O508</f>
        <v>330000</v>
      </c>
      <c r="S508" s="168"/>
      <c r="T508" s="7"/>
    </row>
    <row r="509" spans="1:20" s="169" customFormat="1" ht="15" customHeight="1">
      <c r="A509" s="23"/>
      <c r="B509" s="22"/>
      <c r="C509" s="35"/>
      <c r="D509" s="34"/>
      <c r="E509" s="44"/>
      <c r="F509" s="44"/>
      <c r="G509" s="649"/>
      <c r="H509" s="233"/>
      <c r="I509" s="218" t="s">
        <v>923</v>
      </c>
      <c r="J509" s="180">
        <v>3000</v>
      </c>
      <c r="K509" s="659" t="s">
        <v>20</v>
      </c>
      <c r="L509" s="60">
        <v>11</v>
      </c>
      <c r="M509" s="659" t="s">
        <v>926</v>
      </c>
      <c r="N509" s="659" t="s">
        <v>856</v>
      </c>
      <c r="O509" s="60">
        <v>2</v>
      </c>
      <c r="P509" s="659" t="s">
        <v>848</v>
      </c>
      <c r="Q509" s="659" t="s">
        <v>22</v>
      </c>
      <c r="R509" s="98">
        <f>J509*L509*O509</f>
        <v>66000</v>
      </c>
      <c r="S509" s="168"/>
      <c r="T509" s="7"/>
    </row>
    <row r="510" spans="1:20" s="169" customFormat="1" ht="15" customHeight="1">
      <c r="A510" s="23"/>
      <c r="B510" s="22"/>
      <c r="C510" s="35"/>
      <c r="D510" s="34"/>
      <c r="E510" s="44"/>
      <c r="F510" s="44"/>
      <c r="G510" s="649"/>
      <c r="H510" s="233"/>
      <c r="I510" s="218" t="s">
        <v>924</v>
      </c>
      <c r="J510" s="180"/>
      <c r="K510" s="659"/>
      <c r="L510" s="60"/>
      <c r="M510" s="659"/>
      <c r="N510" s="659"/>
      <c r="O510" s="659"/>
      <c r="P510" s="659"/>
      <c r="Q510" s="659"/>
      <c r="R510" s="98">
        <v>106000</v>
      </c>
      <c r="S510" s="168"/>
      <c r="T510" s="7"/>
    </row>
    <row r="511" spans="1:20" s="169" customFormat="1" ht="15" customHeight="1">
      <c r="A511" s="23"/>
      <c r="B511" s="22"/>
      <c r="C511" s="35"/>
      <c r="D511" s="34"/>
      <c r="E511" s="44"/>
      <c r="F511" s="44"/>
      <c r="G511" s="649"/>
      <c r="H511" s="233"/>
      <c r="I511" s="218" t="s">
        <v>965</v>
      </c>
      <c r="J511" s="180"/>
      <c r="K511" s="659"/>
      <c r="L511" s="60"/>
      <c r="M511" s="659"/>
      <c r="N511" s="659"/>
      <c r="O511" s="659"/>
      <c r="P511" s="659"/>
      <c r="Q511" s="659"/>
      <c r="R511" s="98">
        <v>720000</v>
      </c>
      <c r="S511" s="168" t="s">
        <v>966</v>
      </c>
      <c r="T511" s="7"/>
    </row>
    <row r="512" spans="1:20" s="169" customFormat="1" ht="15" customHeight="1">
      <c r="A512" s="23"/>
      <c r="B512" s="22"/>
      <c r="C512" s="35"/>
      <c r="D512" s="34"/>
      <c r="E512" s="44"/>
      <c r="F512" s="44"/>
      <c r="G512" s="649"/>
      <c r="H512" s="233"/>
      <c r="I512" s="218"/>
      <c r="J512" s="180"/>
      <c r="K512" s="659"/>
      <c r="L512" s="60"/>
      <c r="M512" s="659"/>
      <c r="N512" s="659"/>
      <c r="O512" s="659"/>
      <c r="P512" s="659"/>
      <c r="Q512" s="659"/>
      <c r="R512" s="98"/>
      <c r="S512" s="168"/>
      <c r="T512" s="7"/>
    </row>
    <row r="513" spans="1:20" s="169" customFormat="1" ht="15" customHeight="1">
      <c r="A513" s="23"/>
      <c r="B513" s="22"/>
      <c r="C513" s="35"/>
      <c r="D513" s="34"/>
      <c r="E513" s="44"/>
      <c r="F513" s="44"/>
      <c r="G513" s="506"/>
      <c r="H513" s="233"/>
      <c r="I513" s="35"/>
      <c r="J513" s="180"/>
      <c r="K513" s="532"/>
      <c r="L513" s="532"/>
      <c r="M513" s="532"/>
      <c r="N513" s="532"/>
      <c r="O513" s="532"/>
      <c r="P513" s="532"/>
      <c r="Q513" s="532"/>
      <c r="R513" s="179"/>
      <c r="S513" s="168"/>
      <c r="T513" s="7"/>
    </row>
    <row r="514" spans="1:20" s="169" customFormat="1" ht="15" customHeight="1">
      <c r="A514" s="23"/>
      <c r="B514" s="22"/>
      <c r="C514" s="35"/>
      <c r="D514" s="34"/>
      <c r="E514" s="44"/>
      <c r="F514" s="44"/>
      <c r="G514" s="506"/>
      <c r="H514" s="233"/>
      <c r="I514" s="667" t="s">
        <v>673</v>
      </c>
      <c r="J514" s="180"/>
      <c r="K514" s="532"/>
      <c r="L514" s="532"/>
      <c r="M514" s="532"/>
      <c r="N514" s="532"/>
      <c r="O514" s="532"/>
      <c r="P514" s="532"/>
      <c r="Q514" s="532"/>
      <c r="R514" s="179">
        <f>SUM(R515:R522)</f>
        <v>3390000</v>
      </c>
      <c r="S514" s="168"/>
      <c r="T514" s="7"/>
    </row>
    <row r="515" spans="1:20" s="169" customFormat="1" ht="15" customHeight="1">
      <c r="A515" s="23"/>
      <c r="B515" s="22"/>
      <c r="C515" s="35"/>
      <c r="D515" s="34"/>
      <c r="E515" s="44"/>
      <c r="F515" s="44"/>
      <c r="G515" s="506"/>
      <c r="H515" s="233"/>
      <c r="I515" s="20" t="s">
        <v>256</v>
      </c>
      <c r="J515" s="63">
        <v>10000</v>
      </c>
      <c r="K515" s="20" t="s">
        <v>20</v>
      </c>
      <c r="L515" s="20">
        <v>4</v>
      </c>
      <c r="M515" s="20" t="s">
        <v>21</v>
      </c>
      <c r="N515" s="20" t="s">
        <v>20</v>
      </c>
      <c r="O515" s="20">
        <v>48</v>
      </c>
      <c r="P515" s="20" t="s">
        <v>25</v>
      </c>
      <c r="Q515" s="20" t="s">
        <v>22</v>
      </c>
      <c r="R515" s="241">
        <f>J515*L515*O515</f>
        <v>1920000</v>
      </c>
      <c r="S515" s="168"/>
      <c r="T515" s="7"/>
    </row>
    <row r="516" spans="1:20" s="169" customFormat="1" ht="15" customHeight="1">
      <c r="A516" s="23"/>
      <c r="B516" s="22"/>
      <c r="C516" s="35"/>
      <c r="D516" s="34"/>
      <c r="E516" s="44"/>
      <c r="F516" s="44"/>
      <c r="G516" s="506"/>
      <c r="H516" s="233"/>
      <c r="I516" s="20" t="s">
        <v>655</v>
      </c>
      <c r="J516" s="63">
        <v>10000</v>
      </c>
      <c r="K516" s="20" t="s">
        <v>20</v>
      </c>
      <c r="L516" s="20">
        <v>48</v>
      </c>
      <c r="M516" s="20" t="s">
        <v>25</v>
      </c>
      <c r="N516" s="20"/>
      <c r="O516" s="20"/>
      <c r="P516" s="20"/>
      <c r="Q516" s="20" t="s">
        <v>22</v>
      </c>
      <c r="R516" s="241">
        <f>J516*L516</f>
        <v>480000</v>
      </c>
      <c r="S516" s="168"/>
      <c r="T516" s="7"/>
    </row>
    <row r="517" spans="1:20" s="169" customFormat="1" ht="15" customHeight="1">
      <c r="A517" s="23"/>
      <c r="B517" s="22"/>
      <c r="C517" s="35"/>
      <c r="D517" s="34"/>
      <c r="E517" s="44"/>
      <c r="F517" s="44"/>
      <c r="G517" s="506"/>
      <c r="H517" s="233"/>
      <c r="I517" s="20" t="s">
        <v>927</v>
      </c>
      <c r="J517" s="63"/>
      <c r="K517" s="20"/>
      <c r="L517" s="20"/>
      <c r="M517" s="20"/>
      <c r="N517" s="20"/>
      <c r="O517" s="20"/>
      <c r="P517" s="20"/>
      <c r="Q517" s="20"/>
      <c r="R517" s="241"/>
      <c r="S517" s="168"/>
      <c r="T517" s="7"/>
    </row>
    <row r="518" spans="1:20" s="169" customFormat="1" ht="15" customHeight="1">
      <c r="A518" s="23"/>
      <c r="B518" s="22"/>
      <c r="C518" s="35"/>
      <c r="D518" s="34"/>
      <c r="E518" s="44"/>
      <c r="F518" s="44"/>
      <c r="G518" s="649"/>
      <c r="H518" s="233"/>
      <c r="I518" s="20" t="s">
        <v>928</v>
      </c>
      <c r="J518" s="63">
        <v>50000</v>
      </c>
      <c r="K518" s="20" t="s">
        <v>20</v>
      </c>
      <c r="L518" s="20">
        <v>2</v>
      </c>
      <c r="M518" s="20" t="s">
        <v>25</v>
      </c>
      <c r="N518" s="20"/>
      <c r="O518" s="20"/>
      <c r="P518" s="20"/>
      <c r="Q518" s="20" t="s">
        <v>22</v>
      </c>
      <c r="R518" s="241">
        <f>J518*L518</f>
        <v>100000</v>
      </c>
      <c r="S518" s="168"/>
      <c r="T518" s="7"/>
    </row>
    <row r="519" spans="1:20" s="169" customFormat="1" ht="15" customHeight="1">
      <c r="A519" s="23"/>
      <c r="B519" s="22"/>
      <c r="C519" s="35"/>
      <c r="D519" s="34"/>
      <c r="E519" s="44"/>
      <c r="F519" s="44"/>
      <c r="G519" s="649"/>
      <c r="H519" s="233"/>
      <c r="I519" s="20" t="s">
        <v>929</v>
      </c>
      <c r="J519" s="63">
        <v>15000</v>
      </c>
      <c r="K519" s="20" t="s">
        <v>20</v>
      </c>
      <c r="L519" s="20">
        <v>10</v>
      </c>
      <c r="M519" s="20" t="s">
        <v>21</v>
      </c>
      <c r="N519" s="20" t="s">
        <v>20</v>
      </c>
      <c r="O519" s="20">
        <v>2</v>
      </c>
      <c r="P519" s="20" t="s">
        <v>25</v>
      </c>
      <c r="Q519" s="20" t="s">
        <v>22</v>
      </c>
      <c r="R519" s="241">
        <f>J519*L519*O519</f>
        <v>300000</v>
      </c>
      <c r="S519" s="168"/>
      <c r="T519" s="7"/>
    </row>
    <row r="520" spans="1:20" s="169" customFormat="1" ht="15" customHeight="1">
      <c r="A520" s="23"/>
      <c r="B520" s="22"/>
      <c r="C520" s="35"/>
      <c r="D520" s="34"/>
      <c r="E520" s="44"/>
      <c r="F520" s="44"/>
      <c r="G520" s="506"/>
      <c r="H520" s="233"/>
      <c r="I520" s="20" t="s">
        <v>248</v>
      </c>
      <c r="J520" s="63"/>
      <c r="K520" s="20"/>
      <c r="L520" s="20"/>
      <c r="M520" s="20"/>
      <c r="N520" s="20"/>
      <c r="O520" s="20"/>
      <c r="P520" s="20"/>
      <c r="Q520" s="20"/>
      <c r="R520" s="241"/>
      <c r="S520" s="168"/>
      <c r="T520" s="7"/>
    </row>
    <row r="521" spans="1:20" s="169" customFormat="1" ht="15" customHeight="1">
      <c r="A521" s="23"/>
      <c r="B521" s="22"/>
      <c r="C521" s="35"/>
      <c r="D521" s="34"/>
      <c r="E521" s="44"/>
      <c r="F521" s="44"/>
      <c r="G521" s="506"/>
      <c r="H521" s="233"/>
      <c r="I521" s="20" t="s">
        <v>656</v>
      </c>
      <c r="J521" s="63">
        <v>150000</v>
      </c>
      <c r="K521" s="20" t="s">
        <v>20</v>
      </c>
      <c r="L521" s="20">
        <v>3</v>
      </c>
      <c r="M521" s="20" t="s">
        <v>25</v>
      </c>
      <c r="N521" s="20"/>
      <c r="O521" s="20"/>
      <c r="P521" s="20"/>
      <c r="Q521" s="20" t="s">
        <v>22</v>
      </c>
      <c r="R521" s="241">
        <f>J521*L521</f>
        <v>450000</v>
      </c>
      <c r="S521" s="168"/>
      <c r="T521" s="7"/>
    </row>
    <row r="522" spans="1:20" s="169" customFormat="1" ht="15" customHeight="1">
      <c r="A522" s="23"/>
      <c r="B522" s="22"/>
      <c r="C522" s="35"/>
      <c r="D522" s="34"/>
      <c r="E522" s="44"/>
      <c r="F522" s="44"/>
      <c r="G522" s="506"/>
      <c r="H522" s="233"/>
      <c r="I522" s="20" t="s">
        <v>657</v>
      </c>
      <c r="J522" s="63">
        <v>20000</v>
      </c>
      <c r="K522" s="20" t="s">
        <v>20</v>
      </c>
      <c r="L522" s="20">
        <v>7</v>
      </c>
      <c r="M522" s="20" t="s">
        <v>21</v>
      </c>
      <c r="N522" s="20" t="s">
        <v>20</v>
      </c>
      <c r="O522" s="20">
        <v>1</v>
      </c>
      <c r="P522" s="20" t="s">
        <v>25</v>
      </c>
      <c r="Q522" s="20" t="s">
        <v>22</v>
      </c>
      <c r="R522" s="241">
        <f>J522*L522*O522</f>
        <v>140000</v>
      </c>
      <c r="S522" s="168"/>
      <c r="T522" s="7"/>
    </row>
    <row r="523" spans="1:20" s="169" customFormat="1" ht="15" customHeight="1">
      <c r="A523" s="23"/>
      <c r="B523" s="22"/>
      <c r="C523" s="35"/>
      <c r="D523" s="34"/>
      <c r="E523" s="44"/>
      <c r="F523" s="44"/>
      <c r="G523" s="506"/>
      <c r="H523" s="233"/>
      <c r="I523" s="35"/>
      <c r="J523" s="180"/>
      <c r="K523" s="532"/>
      <c r="L523" s="532"/>
      <c r="M523" s="532"/>
      <c r="N523" s="532"/>
      <c r="O523" s="532"/>
      <c r="P523" s="532"/>
      <c r="Q523" s="532"/>
      <c r="R523" s="179"/>
      <c r="S523" s="168"/>
      <c r="T523" s="7"/>
    </row>
    <row r="524" spans="1:20" s="169" customFormat="1" ht="15" customHeight="1">
      <c r="A524" s="23"/>
      <c r="B524" s="22"/>
      <c r="C524" s="35"/>
      <c r="D524" s="34"/>
      <c r="E524" s="44"/>
      <c r="F524" s="44"/>
      <c r="G524" s="506"/>
      <c r="H524" s="233"/>
      <c r="I524" s="667" t="s">
        <v>663</v>
      </c>
      <c r="J524" s="180"/>
      <c r="K524" s="532"/>
      <c r="L524" s="532"/>
      <c r="M524" s="532"/>
      <c r="N524" s="532"/>
      <c r="O524" s="532"/>
      <c r="P524" s="532"/>
      <c r="Q524" s="532"/>
      <c r="R524" s="179">
        <f>SUM(R526:R534)</f>
        <v>3418000</v>
      </c>
      <c r="S524" s="168"/>
      <c r="T524" s="7"/>
    </row>
    <row r="525" spans="1:20" s="169" customFormat="1" ht="15" customHeight="1">
      <c r="A525" s="23"/>
      <c r="B525" s="22"/>
      <c r="C525" s="35"/>
      <c r="D525" s="34"/>
      <c r="E525" s="44"/>
      <c r="F525" s="44"/>
      <c r="G525" s="649"/>
      <c r="H525" s="233"/>
      <c r="I525" s="35" t="s">
        <v>905</v>
      </c>
      <c r="J525" s="180"/>
      <c r="K525" s="659"/>
      <c r="L525" s="659"/>
      <c r="M525" s="659"/>
      <c r="N525" s="659"/>
      <c r="O525" s="659"/>
      <c r="P525" s="659"/>
      <c r="Q525" s="659"/>
      <c r="R525" s="179"/>
      <c r="S525" s="168"/>
      <c r="T525" s="7"/>
    </row>
    <row r="526" spans="1:20" s="169" customFormat="1" ht="15" customHeight="1">
      <c r="A526" s="23"/>
      <c r="B526" s="22"/>
      <c r="C526" s="35"/>
      <c r="D526" s="34"/>
      <c r="E526" s="44"/>
      <c r="F526" s="44"/>
      <c r="G526" s="506"/>
      <c r="H526" s="233"/>
      <c r="I526" s="218" t="s">
        <v>906</v>
      </c>
      <c r="J526" s="180">
        <v>200000</v>
      </c>
      <c r="K526" s="532" t="s">
        <v>20</v>
      </c>
      <c r="L526" s="60">
        <v>12</v>
      </c>
      <c r="M526" s="532" t="s">
        <v>25</v>
      </c>
      <c r="N526" s="532"/>
      <c r="O526" s="532"/>
      <c r="P526" s="532"/>
      <c r="Q526" s="532" t="s">
        <v>22</v>
      </c>
      <c r="R526" s="98">
        <f>J526*L526</f>
        <v>2400000</v>
      </c>
      <c r="S526" s="168"/>
      <c r="T526" s="7"/>
    </row>
    <row r="527" spans="1:20" s="169" customFormat="1" ht="15" customHeight="1">
      <c r="A527" s="23"/>
      <c r="B527" s="22"/>
      <c r="C527" s="35"/>
      <c r="D527" s="34"/>
      <c r="E527" s="44"/>
      <c r="F527" s="44"/>
      <c r="G527" s="649"/>
      <c r="H527" s="233"/>
      <c r="I527" s="218" t="s">
        <v>907</v>
      </c>
      <c r="J527" s="180">
        <v>200000</v>
      </c>
      <c r="K527" s="659" t="s">
        <v>20</v>
      </c>
      <c r="L527" s="60">
        <v>1</v>
      </c>
      <c r="M527" s="659" t="s">
        <v>25</v>
      </c>
      <c r="N527" s="659"/>
      <c r="O527" s="659"/>
      <c r="P527" s="659"/>
      <c r="Q527" s="659" t="s">
        <v>22</v>
      </c>
      <c r="R527" s="98">
        <f>J527*L527</f>
        <v>200000</v>
      </c>
      <c r="S527" s="168"/>
      <c r="T527" s="7"/>
    </row>
    <row r="528" spans="1:20" s="169" customFormat="1" ht="15" customHeight="1">
      <c r="A528" s="23"/>
      <c r="B528" s="22"/>
      <c r="C528" s="35"/>
      <c r="D528" s="34"/>
      <c r="E528" s="44"/>
      <c r="F528" s="44"/>
      <c r="G528" s="506"/>
      <c r="H528" s="233"/>
      <c r="I528" s="218" t="s">
        <v>909</v>
      </c>
      <c r="J528" s="180"/>
      <c r="K528" s="532"/>
      <c r="L528" s="60"/>
      <c r="M528" s="532"/>
      <c r="N528" s="532"/>
      <c r="O528" s="532"/>
      <c r="P528" s="532"/>
      <c r="Q528" s="532"/>
      <c r="R528" s="98"/>
      <c r="S528" s="168"/>
      <c r="T528" s="7"/>
    </row>
    <row r="529" spans="1:20" s="169" customFormat="1" ht="15" customHeight="1">
      <c r="A529" s="23"/>
      <c r="B529" s="22"/>
      <c r="C529" s="35"/>
      <c r="D529" s="34"/>
      <c r="E529" s="44"/>
      <c r="F529" s="44"/>
      <c r="G529" s="649"/>
      <c r="H529" s="233"/>
      <c r="I529" s="218" t="s">
        <v>910</v>
      </c>
      <c r="J529" s="180">
        <v>25000</v>
      </c>
      <c r="K529" s="659" t="s">
        <v>20</v>
      </c>
      <c r="L529" s="60">
        <v>4</v>
      </c>
      <c r="M529" s="659" t="s">
        <v>915</v>
      </c>
      <c r="N529" s="659"/>
      <c r="O529" s="659"/>
      <c r="P529" s="659"/>
      <c r="Q529" s="659" t="s">
        <v>22</v>
      </c>
      <c r="R529" s="98">
        <f t="shared" ref="R529:R534" si="14">J529*L529</f>
        <v>100000</v>
      </c>
      <c r="S529" s="168"/>
      <c r="T529" s="7"/>
    </row>
    <row r="530" spans="1:20" s="169" customFormat="1" ht="15" customHeight="1">
      <c r="A530" s="23"/>
      <c r="B530" s="22"/>
      <c r="C530" s="35"/>
      <c r="D530" s="34"/>
      <c r="E530" s="44"/>
      <c r="F530" s="44"/>
      <c r="G530" s="649"/>
      <c r="H530" s="233"/>
      <c r="I530" s="218" t="s">
        <v>911</v>
      </c>
      <c r="J530" s="180">
        <v>2500</v>
      </c>
      <c r="K530" s="659" t="s">
        <v>20</v>
      </c>
      <c r="L530" s="60">
        <v>4</v>
      </c>
      <c r="M530" s="659" t="s">
        <v>916</v>
      </c>
      <c r="N530" s="659"/>
      <c r="O530" s="659"/>
      <c r="P530" s="659"/>
      <c r="Q530" s="659" t="s">
        <v>22</v>
      </c>
      <c r="R530" s="98">
        <f t="shared" si="14"/>
        <v>10000</v>
      </c>
      <c r="S530" s="168"/>
      <c r="T530" s="7"/>
    </row>
    <row r="531" spans="1:20" s="169" customFormat="1" ht="15" customHeight="1">
      <c r="A531" s="23"/>
      <c r="B531" s="22"/>
      <c r="C531" s="35"/>
      <c r="D531" s="34"/>
      <c r="E531" s="44"/>
      <c r="F531" s="44"/>
      <c r="G531" s="649"/>
      <c r="H531" s="233"/>
      <c r="I531" s="218" t="s">
        <v>912</v>
      </c>
      <c r="J531" s="180">
        <v>2500</v>
      </c>
      <c r="K531" s="659" t="s">
        <v>20</v>
      </c>
      <c r="L531" s="60">
        <v>4</v>
      </c>
      <c r="M531" s="659" t="s">
        <v>916</v>
      </c>
      <c r="N531" s="659"/>
      <c r="O531" s="659"/>
      <c r="P531" s="659"/>
      <c r="Q531" s="659" t="s">
        <v>22</v>
      </c>
      <c r="R531" s="98">
        <f t="shared" si="14"/>
        <v>10000</v>
      </c>
      <c r="S531" s="168"/>
      <c r="T531" s="7"/>
    </row>
    <row r="532" spans="1:20" s="169" customFormat="1" ht="15" customHeight="1">
      <c r="A532" s="23"/>
      <c r="B532" s="22"/>
      <c r="C532" s="35"/>
      <c r="D532" s="34"/>
      <c r="E532" s="44"/>
      <c r="F532" s="44"/>
      <c r="G532" s="649"/>
      <c r="H532" s="233"/>
      <c r="I532" s="218" t="s">
        <v>913</v>
      </c>
      <c r="J532" s="180">
        <v>70000</v>
      </c>
      <c r="K532" s="659" t="s">
        <v>20</v>
      </c>
      <c r="L532" s="60">
        <v>1</v>
      </c>
      <c r="M532" s="659" t="s">
        <v>180</v>
      </c>
      <c r="N532" s="659"/>
      <c r="O532" s="659"/>
      <c r="P532" s="659"/>
      <c r="Q532" s="659" t="s">
        <v>22</v>
      </c>
      <c r="R532" s="98">
        <f t="shared" si="14"/>
        <v>70000</v>
      </c>
      <c r="S532" s="168"/>
      <c r="T532" s="7"/>
    </row>
    <row r="533" spans="1:20" s="169" customFormat="1" ht="15" customHeight="1">
      <c r="A533" s="23"/>
      <c r="B533" s="22"/>
      <c r="C533" s="35"/>
      <c r="D533" s="34"/>
      <c r="E533" s="44"/>
      <c r="F533" s="44"/>
      <c r="G533" s="649"/>
      <c r="H533" s="233"/>
      <c r="I533" s="218" t="s">
        <v>914</v>
      </c>
      <c r="J533" s="180">
        <v>37000</v>
      </c>
      <c r="K533" s="659" t="s">
        <v>20</v>
      </c>
      <c r="L533" s="60">
        <v>4</v>
      </c>
      <c r="M533" s="659" t="s">
        <v>180</v>
      </c>
      <c r="N533" s="659"/>
      <c r="O533" s="659"/>
      <c r="P533" s="659"/>
      <c r="Q533" s="659" t="s">
        <v>22</v>
      </c>
      <c r="R533" s="98">
        <f t="shared" si="14"/>
        <v>148000</v>
      </c>
      <c r="S533" s="168"/>
      <c r="T533" s="7"/>
    </row>
    <row r="534" spans="1:20" s="169" customFormat="1" ht="15" customHeight="1">
      <c r="A534" s="23"/>
      <c r="B534" s="22"/>
      <c r="C534" s="35"/>
      <c r="D534" s="34"/>
      <c r="E534" s="44"/>
      <c r="F534" s="44"/>
      <c r="G534" s="506"/>
      <c r="H534" s="233"/>
      <c r="I534" s="218" t="s">
        <v>908</v>
      </c>
      <c r="J534" s="180">
        <v>80000</v>
      </c>
      <c r="K534" s="659" t="s">
        <v>20</v>
      </c>
      <c r="L534" s="60">
        <v>6</v>
      </c>
      <c r="M534" s="659" t="s">
        <v>25</v>
      </c>
      <c r="N534" s="659"/>
      <c r="O534" s="659"/>
      <c r="P534" s="659"/>
      <c r="Q534" s="659" t="s">
        <v>22</v>
      </c>
      <c r="R534" s="98">
        <f t="shared" si="14"/>
        <v>480000</v>
      </c>
      <c r="S534" s="168"/>
      <c r="T534" s="7"/>
    </row>
    <row r="535" spans="1:20" s="169" customFormat="1" ht="15" customHeight="1">
      <c r="A535" s="23"/>
      <c r="B535" s="22"/>
      <c r="C535" s="35"/>
      <c r="D535" s="34"/>
      <c r="E535" s="44"/>
      <c r="F535" s="44"/>
      <c r="G535" s="506"/>
      <c r="H535" s="233"/>
      <c r="I535" s="35"/>
      <c r="J535" s="180"/>
      <c r="K535" s="532"/>
      <c r="L535" s="532"/>
      <c r="M535" s="532"/>
      <c r="N535" s="532"/>
      <c r="O535" s="532"/>
      <c r="P535" s="532"/>
      <c r="Q535" s="532"/>
      <c r="R535" s="179"/>
      <c r="S535" s="168"/>
      <c r="T535" s="7"/>
    </row>
    <row r="536" spans="1:20" s="169" customFormat="1" ht="15" customHeight="1">
      <c r="A536" s="23"/>
      <c r="B536" s="22"/>
      <c r="C536" s="34"/>
      <c r="D536" s="35"/>
      <c r="E536" s="44"/>
      <c r="F536" s="44"/>
      <c r="G536" s="506"/>
      <c r="H536" s="225"/>
      <c r="I536" s="667" t="s">
        <v>683</v>
      </c>
      <c r="J536" s="211"/>
      <c r="K536" s="532"/>
      <c r="L536" s="532"/>
      <c r="M536" s="532"/>
      <c r="N536" s="532"/>
      <c r="O536" s="532"/>
      <c r="P536" s="532"/>
      <c r="Q536" s="532"/>
      <c r="R536" s="98">
        <f>SUM(R537+R544)</f>
        <v>6018740</v>
      </c>
      <c r="S536" s="168"/>
      <c r="T536" s="7"/>
    </row>
    <row r="537" spans="1:20" s="169" customFormat="1" ht="15" customHeight="1">
      <c r="A537" s="23"/>
      <c r="B537" s="22"/>
      <c r="C537" s="34"/>
      <c r="D537" s="35"/>
      <c r="E537" s="44"/>
      <c r="F537" s="44"/>
      <c r="G537" s="506"/>
      <c r="H537" s="225"/>
      <c r="I537" s="31" t="s">
        <v>665</v>
      </c>
      <c r="J537" s="180">
        <v>20000</v>
      </c>
      <c r="K537" s="659" t="s">
        <v>20</v>
      </c>
      <c r="L537" s="60">
        <v>10</v>
      </c>
      <c r="M537" s="650" t="s">
        <v>21</v>
      </c>
      <c r="N537" s="659" t="s">
        <v>20</v>
      </c>
      <c r="O537" s="659" t="s">
        <v>264</v>
      </c>
      <c r="P537" s="659" t="s">
        <v>25</v>
      </c>
      <c r="Q537" s="659" t="s">
        <v>22</v>
      </c>
      <c r="R537" s="98">
        <f>J537*L537*O537</f>
        <v>400000</v>
      </c>
      <c r="S537" s="168"/>
      <c r="T537" s="7"/>
    </row>
    <row r="538" spans="1:20" s="169" customFormat="1" ht="15" hidden="1" customHeight="1">
      <c r="A538" s="23"/>
      <c r="B538" s="22"/>
      <c r="C538" s="34"/>
      <c r="D538" s="35"/>
      <c r="E538" s="44"/>
      <c r="F538" s="44"/>
      <c r="G538" s="506"/>
      <c r="H538" s="225"/>
      <c r="I538" s="35" t="s">
        <v>666</v>
      </c>
      <c r="J538" s="523"/>
      <c r="K538" s="523"/>
      <c r="L538" s="523"/>
      <c r="M538" s="523"/>
      <c r="N538" s="523"/>
      <c r="O538" s="523"/>
      <c r="P538" s="523"/>
      <c r="Q538" s="532"/>
      <c r="R538" s="98">
        <f>SUM(R539:R540)</f>
        <v>0</v>
      </c>
      <c r="S538" s="168"/>
      <c r="T538" s="7"/>
    </row>
    <row r="539" spans="1:20" s="169" customFormat="1" ht="15" hidden="1" customHeight="1">
      <c r="A539" s="23"/>
      <c r="B539" s="22"/>
      <c r="C539" s="34"/>
      <c r="D539" s="35"/>
      <c r="E539" s="44"/>
      <c r="F539" s="44"/>
      <c r="G539" s="506"/>
      <c r="H539" s="225"/>
      <c r="I539" s="35" t="s">
        <v>667</v>
      </c>
      <c r="J539" s="180">
        <v>30000</v>
      </c>
      <c r="K539" s="532" t="s">
        <v>20</v>
      </c>
      <c r="L539" s="60">
        <v>40</v>
      </c>
      <c r="M539" s="523" t="s">
        <v>21</v>
      </c>
      <c r="N539" s="532" t="s">
        <v>20</v>
      </c>
      <c r="O539" s="532" t="s">
        <v>629</v>
      </c>
      <c r="P539" s="532" t="s">
        <v>25</v>
      </c>
      <c r="Q539" s="532" t="s">
        <v>22</v>
      </c>
      <c r="R539" s="98">
        <f>J539*L539*O539</f>
        <v>0</v>
      </c>
      <c r="S539" s="168"/>
      <c r="T539" s="7"/>
    </row>
    <row r="540" spans="1:20" s="169" customFormat="1" ht="15" hidden="1" customHeight="1">
      <c r="A540" s="23"/>
      <c r="B540" s="22"/>
      <c r="C540" s="34"/>
      <c r="D540" s="35"/>
      <c r="E540" s="44"/>
      <c r="F540" s="44"/>
      <c r="G540" s="506"/>
      <c r="H540" s="225"/>
      <c r="I540" s="445" t="s">
        <v>682</v>
      </c>
      <c r="J540" s="480">
        <v>5000</v>
      </c>
      <c r="K540" s="481" t="s">
        <v>20</v>
      </c>
      <c r="L540" s="482">
        <v>40</v>
      </c>
      <c r="M540" s="484" t="s">
        <v>21</v>
      </c>
      <c r="N540" s="481" t="s">
        <v>20</v>
      </c>
      <c r="O540" s="481" t="s">
        <v>629</v>
      </c>
      <c r="P540" s="481" t="s">
        <v>25</v>
      </c>
      <c r="Q540" s="481" t="s">
        <v>22</v>
      </c>
      <c r="R540" s="483">
        <f>J540*L540*O540</f>
        <v>0</v>
      </c>
      <c r="S540" s="168"/>
      <c r="T540" s="7"/>
    </row>
    <row r="541" spans="1:20" s="169" customFormat="1" ht="15" hidden="1" customHeight="1">
      <c r="A541" s="23"/>
      <c r="B541" s="22"/>
      <c r="C541" s="34"/>
      <c r="D541" s="35"/>
      <c r="E541" s="44"/>
      <c r="F541" s="44"/>
      <c r="G541" s="506"/>
      <c r="H541" s="225"/>
      <c r="I541" s="35" t="s">
        <v>668</v>
      </c>
      <c r="J541" s="180"/>
      <c r="K541" s="532"/>
      <c r="L541" s="60"/>
      <c r="M541" s="523"/>
      <c r="N541" s="532"/>
      <c r="O541" s="532"/>
      <c r="P541" s="532"/>
      <c r="Q541" s="532"/>
      <c r="R541" s="98">
        <f>R542+R543</f>
        <v>0</v>
      </c>
      <c r="S541" s="168"/>
      <c r="T541" s="7"/>
    </row>
    <row r="542" spans="1:20" s="169" customFormat="1" ht="15" hidden="1" customHeight="1">
      <c r="A542" s="23"/>
      <c r="B542" s="22"/>
      <c r="C542" s="34"/>
      <c r="D542" s="35"/>
      <c r="E542" s="44"/>
      <c r="F542" s="44"/>
      <c r="G542" s="506"/>
      <c r="H542" s="225"/>
      <c r="I542" s="35" t="s">
        <v>669</v>
      </c>
      <c r="J542" s="180">
        <v>8000</v>
      </c>
      <c r="K542" s="532" t="s">
        <v>20</v>
      </c>
      <c r="L542" s="60">
        <v>60</v>
      </c>
      <c r="M542" s="523" t="s">
        <v>21</v>
      </c>
      <c r="N542" s="532" t="s">
        <v>20</v>
      </c>
      <c r="O542" s="532" t="s">
        <v>629</v>
      </c>
      <c r="P542" s="532" t="s">
        <v>25</v>
      </c>
      <c r="Q542" s="532" t="s">
        <v>22</v>
      </c>
      <c r="R542" s="98">
        <f>J542*L542*O542</f>
        <v>0</v>
      </c>
      <c r="S542" s="168"/>
      <c r="T542" s="7"/>
    </row>
    <row r="543" spans="1:20" s="169" customFormat="1" ht="15" hidden="1" customHeight="1">
      <c r="A543" s="23"/>
      <c r="B543" s="22"/>
      <c r="C543" s="34"/>
      <c r="D543" s="35"/>
      <c r="E543" s="44"/>
      <c r="F543" s="44"/>
      <c r="G543" s="506"/>
      <c r="H543" s="225"/>
      <c r="I543" s="35" t="s">
        <v>670</v>
      </c>
      <c r="J543" s="180">
        <v>100000</v>
      </c>
      <c r="K543" s="532" t="s">
        <v>20</v>
      </c>
      <c r="L543" s="60">
        <v>1</v>
      </c>
      <c r="M543" s="523" t="s">
        <v>21</v>
      </c>
      <c r="N543" s="532" t="s">
        <v>20</v>
      </c>
      <c r="O543" s="532" t="s">
        <v>629</v>
      </c>
      <c r="P543" s="532" t="s">
        <v>25</v>
      </c>
      <c r="Q543" s="532" t="s">
        <v>22</v>
      </c>
      <c r="R543" s="98">
        <f>J543*L543*O543</f>
        <v>0</v>
      </c>
      <c r="S543" s="168"/>
      <c r="T543" s="7"/>
    </row>
    <row r="544" spans="1:20" s="169" customFormat="1" ht="15" customHeight="1">
      <c r="A544" s="23"/>
      <c r="B544" s="22"/>
      <c r="C544" s="34"/>
      <c r="D544" s="35"/>
      <c r="E544" s="44"/>
      <c r="F544" s="44"/>
      <c r="G544" s="506"/>
      <c r="H544" s="225"/>
      <c r="I544" s="35" t="s">
        <v>934</v>
      </c>
      <c r="J544" s="180"/>
      <c r="K544" s="532"/>
      <c r="L544" s="60"/>
      <c r="M544" s="523"/>
      <c r="N544" s="532"/>
      <c r="O544" s="532"/>
      <c r="P544" s="532"/>
      <c r="Q544" s="532"/>
      <c r="R544" s="98">
        <f>R545+R547+R548+R549+R550</f>
        <v>5618740</v>
      </c>
      <c r="S544" s="168"/>
      <c r="T544" s="7"/>
    </row>
    <row r="545" spans="1:20" s="169" customFormat="1" ht="15" customHeight="1">
      <c r="A545" s="23"/>
      <c r="B545" s="22"/>
      <c r="C545" s="34"/>
      <c r="D545" s="35"/>
      <c r="E545" s="44"/>
      <c r="F545" s="44"/>
      <c r="G545" s="506"/>
      <c r="H545" s="225"/>
      <c r="I545" s="445" t="s">
        <v>1118</v>
      </c>
      <c r="J545" s="480"/>
      <c r="K545" s="481"/>
      <c r="L545" s="482"/>
      <c r="M545" s="484"/>
      <c r="N545" s="481"/>
      <c r="O545" s="481"/>
      <c r="P545" s="481"/>
      <c r="Q545" s="481" t="s">
        <v>22</v>
      </c>
      <c r="R545" s="483">
        <f>6000000-2131260</f>
        <v>3868740</v>
      </c>
      <c r="S545" s="168" t="s">
        <v>1085</v>
      </c>
      <c r="T545" s="7"/>
    </row>
    <row r="546" spans="1:20" s="169" customFormat="1" ht="15" hidden="1" customHeight="1">
      <c r="A546" s="23"/>
      <c r="B546" s="22"/>
      <c r="C546" s="34"/>
      <c r="D546" s="35"/>
      <c r="E546" s="44"/>
      <c r="F546" s="44"/>
      <c r="G546" s="649"/>
      <c r="H546" s="225"/>
      <c r="I546" s="445" t="s">
        <v>931</v>
      </c>
      <c r="J546" s="480">
        <v>40000</v>
      </c>
      <c r="K546" s="481" t="s">
        <v>20</v>
      </c>
      <c r="L546" s="482">
        <v>50</v>
      </c>
      <c r="M546" s="484" t="s">
        <v>21</v>
      </c>
      <c r="N546" s="481" t="s">
        <v>20</v>
      </c>
      <c r="O546" s="481" t="s">
        <v>629</v>
      </c>
      <c r="P546" s="481" t="s">
        <v>25</v>
      </c>
      <c r="Q546" s="481" t="s">
        <v>22</v>
      </c>
      <c r="R546" s="483">
        <f t="shared" ref="R546:R550" si="15">J546*L546*O546</f>
        <v>0</v>
      </c>
      <c r="S546" s="168" t="s">
        <v>930</v>
      </c>
      <c r="T546" s="7"/>
    </row>
    <row r="547" spans="1:20" s="169" customFormat="1" ht="15" customHeight="1">
      <c r="A547" s="23"/>
      <c r="B547" s="22"/>
      <c r="C547" s="34"/>
      <c r="D547" s="35"/>
      <c r="E547" s="44"/>
      <c r="F547" s="44"/>
      <c r="G547" s="506"/>
      <c r="H547" s="225"/>
      <c r="I547" s="35" t="s">
        <v>265</v>
      </c>
      <c r="J547" s="180">
        <v>100000</v>
      </c>
      <c r="K547" s="532" t="s">
        <v>20</v>
      </c>
      <c r="L547" s="60">
        <v>1</v>
      </c>
      <c r="M547" s="523" t="s">
        <v>21</v>
      </c>
      <c r="N547" s="532" t="s">
        <v>20</v>
      </c>
      <c r="O547" s="532" t="s">
        <v>826</v>
      </c>
      <c r="P547" s="532" t="s">
        <v>25</v>
      </c>
      <c r="Q547" s="532" t="s">
        <v>22</v>
      </c>
      <c r="R547" s="98">
        <f t="shared" si="15"/>
        <v>500000</v>
      </c>
      <c r="S547" s="168"/>
      <c r="T547" s="7"/>
    </row>
    <row r="548" spans="1:20" s="169" customFormat="1" ht="15" customHeight="1">
      <c r="A548" s="23"/>
      <c r="B548" s="22"/>
      <c r="C548" s="34"/>
      <c r="D548" s="35"/>
      <c r="E548" s="44"/>
      <c r="F548" s="44"/>
      <c r="G548" s="649"/>
      <c r="H548" s="225"/>
      <c r="I548" s="35" t="s">
        <v>932</v>
      </c>
      <c r="J548" s="180">
        <v>550000</v>
      </c>
      <c r="K548" s="659" t="s">
        <v>20</v>
      </c>
      <c r="L548" s="60">
        <v>1</v>
      </c>
      <c r="M548" s="650" t="s">
        <v>21</v>
      </c>
      <c r="N548" s="659" t="s">
        <v>20</v>
      </c>
      <c r="O548" s="659" t="s">
        <v>245</v>
      </c>
      <c r="P548" s="659" t="s">
        <v>25</v>
      </c>
      <c r="Q548" s="659" t="s">
        <v>22</v>
      </c>
      <c r="R548" s="98">
        <f t="shared" si="15"/>
        <v>550000</v>
      </c>
      <c r="S548" s="168"/>
      <c r="T548" s="7"/>
    </row>
    <row r="549" spans="1:20" s="169" customFormat="1" ht="15" customHeight="1">
      <c r="A549" s="23"/>
      <c r="B549" s="22"/>
      <c r="C549" s="34"/>
      <c r="D549" s="35"/>
      <c r="E549" s="44"/>
      <c r="F549" s="44"/>
      <c r="G549" s="724"/>
      <c r="H549" s="225"/>
      <c r="I549" s="35" t="s">
        <v>933</v>
      </c>
      <c r="J549" s="180">
        <v>100000</v>
      </c>
      <c r="K549" s="726" t="s">
        <v>20</v>
      </c>
      <c r="L549" s="60">
        <v>1</v>
      </c>
      <c r="M549" s="725" t="s">
        <v>21</v>
      </c>
      <c r="N549" s="726" t="s">
        <v>20</v>
      </c>
      <c r="O549" s="726" t="s">
        <v>245</v>
      </c>
      <c r="P549" s="726" t="s">
        <v>25</v>
      </c>
      <c r="Q549" s="726" t="s">
        <v>22</v>
      </c>
      <c r="R549" s="98">
        <f t="shared" si="15"/>
        <v>100000</v>
      </c>
      <c r="S549" s="168"/>
      <c r="T549" s="7"/>
    </row>
    <row r="550" spans="1:20" s="169" customFormat="1" ht="15" customHeight="1">
      <c r="A550" s="23"/>
      <c r="B550" s="22"/>
      <c r="C550" s="34"/>
      <c r="D550" s="35"/>
      <c r="E550" s="44"/>
      <c r="F550" s="44"/>
      <c r="G550" s="724"/>
      <c r="H550" s="225"/>
      <c r="I550" s="35" t="s">
        <v>1229</v>
      </c>
      <c r="J550" s="180">
        <v>50000</v>
      </c>
      <c r="K550" s="726" t="s">
        <v>20</v>
      </c>
      <c r="L550" s="60">
        <v>1</v>
      </c>
      <c r="M550" s="725" t="s">
        <v>21</v>
      </c>
      <c r="N550" s="726" t="s">
        <v>20</v>
      </c>
      <c r="O550" s="726" t="s">
        <v>1119</v>
      </c>
      <c r="P550" s="726" t="s">
        <v>25</v>
      </c>
      <c r="Q550" s="726" t="s">
        <v>22</v>
      </c>
      <c r="R550" s="98">
        <f t="shared" si="15"/>
        <v>600000</v>
      </c>
      <c r="S550" s="168"/>
      <c r="T550" s="7"/>
    </row>
    <row r="551" spans="1:20" s="169" customFormat="1" ht="15" customHeight="1">
      <c r="A551" s="23"/>
      <c r="B551" s="22"/>
      <c r="C551" s="34"/>
      <c r="D551" s="35"/>
      <c r="E551" s="44"/>
      <c r="F551" s="44"/>
      <c r="G551" s="506"/>
      <c r="H551" s="225"/>
      <c r="I551" s="35"/>
      <c r="J551" s="180"/>
      <c r="K551" s="532"/>
      <c r="L551" s="60"/>
      <c r="M551" s="523"/>
      <c r="N551" s="532"/>
      <c r="O551" s="532"/>
      <c r="P551" s="532"/>
      <c r="Q551" s="532"/>
      <c r="R551" s="98"/>
      <c r="S551" s="168"/>
      <c r="T551" s="7"/>
    </row>
    <row r="552" spans="1:20" s="169" customFormat="1" ht="15" customHeight="1">
      <c r="A552" s="23"/>
      <c r="B552" s="22"/>
      <c r="C552" s="34"/>
      <c r="D552" s="35"/>
      <c r="E552" s="44"/>
      <c r="F552" s="44"/>
      <c r="G552" s="506"/>
      <c r="H552" s="225"/>
      <c r="I552" s="667" t="s">
        <v>671</v>
      </c>
      <c r="J552" s="180"/>
      <c r="K552" s="532"/>
      <c r="L552" s="60"/>
      <c r="M552" s="523"/>
      <c r="N552" s="532"/>
      <c r="O552" s="532"/>
      <c r="P552" s="532"/>
      <c r="Q552" s="532"/>
      <c r="R552" s="98">
        <f>R553+R554</f>
        <v>1100000</v>
      </c>
      <c r="S552" s="168"/>
      <c r="T552" s="7"/>
    </row>
    <row r="553" spans="1:20" s="169" customFormat="1" ht="15" customHeight="1">
      <c r="A553" s="23"/>
      <c r="B553" s="22"/>
      <c r="C553" s="34"/>
      <c r="D553" s="35"/>
      <c r="E553" s="44"/>
      <c r="F553" s="44"/>
      <c r="G553" s="649"/>
      <c r="H553" s="225"/>
      <c r="I553" s="35" t="s">
        <v>935</v>
      </c>
      <c r="J553" s="180">
        <v>3333</v>
      </c>
      <c r="K553" s="659" t="s">
        <v>20</v>
      </c>
      <c r="L553" s="60">
        <v>1</v>
      </c>
      <c r="M553" s="650" t="s">
        <v>25</v>
      </c>
      <c r="N553" s="659" t="s">
        <v>20</v>
      </c>
      <c r="O553" s="659" t="s">
        <v>936</v>
      </c>
      <c r="P553" s="659" t="s">
        <v>249</v>
      </c>
      <c r="Q553" s="659" t="s">
        <v>22</v>
      </c>
      <c r="R553" s="98">
        <f>J553*L553*O553+100</f>
        <v>1000000</v>
      </c>
      <c r="S553" s="168"/>
      <c r="T553" s="7"/>
    </row>
    <row r="554" spans="1:20" s="169" customFormat="1" ht="15" customHeight="1">
      <c r="A554" s="23"/>
      <c r="B554" s="22"/>
      <c r="C554" s="34"/>
      <c r="D554" s="35"/>
      <c r="E554" s="44"/>
      <c r="F554" s="44"/>
      <c r="G554" s="649"/>
      <c r="H554" s="225"/>
      <c r="I554" s="35" t="s">
        <v>1230</v>
      </c>
      <c r="J554" s="180">
        <v>100000</v>
      </c>
      <c r="K554" s="659" t="s">
        <v>20</v>
      </c>
      <c r="L554" s="60">
        <v>1</v>
      </c>
      <c r="M554" s="659" t="s">
        <v>25</v>
      </c>
      <c r="N554" s="659"/>
      <c r="O554" s="659"/>
      <c r="P554" s="659"/>
      <c r="Q554" s="659" t="s">
        <v>22</v>
      </c>
      <c r="R554" s="98">
        <f>J554*L554</f>
        <v>100000</v>
      </c>
      <c r="S554" s="168"/>
      <c r="T554" s="7"/>
    </row>
    <row r="555" spans="1:20" s="169" customFormat="1" ht="15" customHeight="1">
      <c r="A555" s="23"/>
      <c r="B555" s="22"/>
      <c r="C555" s="34"/>
      <c r="D555" s="35"/>
      <c r="E555" s="44"/>
      <c r="F555" s="44"/>
      <c r="G555" s="506"/>
      <c r="H555" s="225"/>
      <c r="I555" s="35"/>
      <c r="J555" s="523"/>
      <c r="K555" s="523"/>
      <c r="L555" s="523"/>
      <c r="M555" s="523"/>
      <c r="N555" s="523"/>
      <c r="O555" s="523"/>
      <c r="P555" s="523"/>
      <c r="Q555" s="532"/>
      <c r="R555" s="98"/>
      <c r="S555" s="168"/>
      <c r="T555" s="7"/>
    </row>
    <row r="556" spans="1:20" s="169" customFormat="1" ht="15" customHeight="1">
      <c r="A556" s="23"/>
      <c r="B556" s="22"/>
      <c r="C556" s="34"/>
      <c r="D556" s="35"/>
      <c r="E556" s="44"/>
      <c r="F556" s="44"/>
      <c r="G556" s="724"/>
      <c r="H556" s="225"/>
      <c r="I556" s="35" t="s">
        <v>1120</v>
      </c>
      <c r="J556" s="725"/>
      <c r="K556" s="725"/>
      <c r="L556" s="725"/>
      <c r="M556" s="725"/>
      <c r="N556" s="725"/>
      <c r="O556" s="725"/>
      <c r="P556" s="725"/>
      <c r="Q556" s="726"/>
      <c r="R556" s="98">
        <v>10800000</v>
      </c>
      <c r="S556" s="168"/>
      <c r="T556" s="7"/>
    </row>
    <row r="557" spans="1:20" s="169" customFormat="1" ht="15" customHeight="1">
      <c r="A557" s="23"/>
      <c r="B557" s="22"/>
      <c r="C557" s="34"/>
      <c r="D557" s="35"/>
      <c r="E557" s="44"/>
      <c r="F557" s="44"/>
      <c r="G557" s="724"/>
      <c r="H557" s="225"/>
      <c r="I557" s="35"/>
      <c r="J557" s="725"/>
      <c r="K557" s="725"/>
      <c r="L557" s="725"/>
      <c r="M557" s="725"/>
      <c r="N557" s="725"/>
      <c r="O557" s="725"/>
      <c r="P557" s="725"/>
      <c r="Q557" s="726"/>
      <c r="R557" s="98"/>
      <c r="S557" s="168"/>
      <c r="T557" s="7"/>
    </row>
    <row r="558" spans="1:20" s="169" customFormat="1" ht="15" customHeight="1">
      <c r="A558" s="23"/>
      <c r="B558" s="22"/>
      <c r="C558" s="34"/>
      <c r="D558" s="35"/>
      <c r="E558" s="44"/>
      <c r="F558" s="44"/>
      <c r="G558" s="506"/>
      <c r="H558" s="225"/>
      <c r="I558" s="35" t="s">
        <v>718</v>
      </c>
      <c r="J558" s="523"/>
      <c r="K558" s="523"/>
      <c r="L558" s="523"/>
      <c r="M558" s="523"/>
      <c r="N558" s="523"/>
      <c r="O558" s="523"/>
      <c r="P558" s="523"/>
      <c r="Q558" s="532"/>
      <c r="R558" s="98">
        <f>R559+R560</f>
        <v>138929170</v>
      </c>
      <c r="S558" s="168"/>
      <c r="T558" s="7"/>
    </row>
    <row r="559" spans="1:20" s="169" customFormat="1" ht="15" customHeight="1">
      <c r="A559" s="23"/>
      <c r="B559" s="22"/>
      <c r="C559" s="34"/>
      <c r="D559" s="35"/>
      <c r="E559" s="44"/>
      <c r="F559" s="44"/>
      <c r="G559" s="506"/>
      <c r="H559" s="225"/>
      <c r="I559" s="35" t="s">
        <v>719</v>
      </c>
      <c r="J559" s="523"/>
      <c r="K559" s="523"/>
      <c r="L559" s="523"/>
      <c r="M559" s="523"/>
      <c r="N559" s="523"/>
      <c r="O559" s="523"/>
      <c r="P559" s="523"/>
      <c r="Q559" s="532"/>
      <c r="R559" s="98">
        <f>135843840+1931260+800000</f>
        <v>138575100</v>
      </c>
      <c r="S559" s="168"/>
      <c r="T559" s="7"/>
    </row>
    <row r="560" spans="1:20" s="169" customFormat="1" ht="15" customHeight="1">
      <c r="A560" s="23"/>
      <c r="B560" s="22"/>
      <c r="C560" s="34"/>
      <c r="D560" s="35"/>
      <c r="E560" s="44"/>
      <c r="F560" s="44"/>
      <c r="G560" s="506"/>
      <c r="H560" s="225"/>
      <c r="I560" s="445" t="s">
        <v>720</v>
      </c>
      <c r="J560" s="484"/>
      <c r="K560" s="484"/>
      <c r="L560" s="484"/>
      <c r="M560" s="484"/>
      <c r="N560" s="484"/>
      <c r="O560" s="484"/>
      <c r="P560" s="484"/>
      <c r="Q560" s="481"/>
      <c r="R560" s="483">
        <f>2285330-1931260</f>
        <v>354070</v>
      </c>
      <c r="S560" s="168"/>
      <c r="T560" s="7"/>
    </row>
    <row r="561" spans="1:20" s="169" customFormat="1" ht="15" customHeight="1">
      <c r="A561" s="23"/>
      <c r="B561" s="22"/>
      <c r="C561" s="487"/>
      <c r="D561" s="16"/>
      <c r="E561" s="50"/>
      <c r="F561" s="50"/>
      <c r="G561" s="533"/>
      <c r="H561" s="245"/>
      <c r="I561" s="16"/>
      <c r="J561" s="244"/>
      <c r="K561" s="246"/>
      <c r="L561" s="246"/>
      <c r="M561" s="246"/>
      <c r="N561" s="246"/>
      <c r="O561" s="246"/>
      <c r="P561" s="246"/>
      <c r="Q561" s="222" t="s">
        <v>23</v>
      </c>
      <c r="R561" s="213">
        <f>SUM(R536,R524,R498,R552,R514,R558,R556)</f>
        <v>166717910</v>
      </c>
      <c r="S561" s="168">
        <v>0</v>
      </c>
      <c r="T561" s="7">
        <f>R561-S561</f>
        <v>166717910</v>
      </c>
    </row>
    <row r="562" spans="1:20" s="169" customFormat="1" ht="15" hidden="1" customHeight="1">
      <c r="A562" s="23"/>
      <c r="B562" s="23"/>
      <c r="C562" s="23"/>
      <c r="D562" s="948"/>
      <c r="E562" s="30">
        <v>0</v>
      </c>
      <c r="F562" s="30">
        <f>S572/1000</f>
        <v>0</v>
      </c>
      <c r="G562" s="505"/>
      <c r="H562" s="513"/>
      <c r="I562" s="223"/>
      <c r="J562" s="247"/>
      <c r="K562" s="239"/>
      <c r="L562" s="216"/>
      <c r="M562" s="239"/>
      <c r="N562" s="239"/>
      <c r="O562" s="239"/>
      <c r="P562" s="239"/>
      <c r="Q562" s="239"/>
      <c r="R562" s="217"/>
      <c r="S562" s="168"/>
      <c r="T562" s="7"/>
    </row>
    <row r="563" spans="1:20" s="169" customFormat="1" ht="15" hidden="1" customHeight="1">
      <c r="A563" s="23"/>
      <c r="B563" s="23"/>
      <c r="C563" s="23"/>
      <c r="D563" s="949"/>
      <c r="E563" s="966">
        <v>0</v>
      </c>
      <c r="F563" s="966">
        <f>T572/1000</f>
        <v>0</v>
      </c>
      <c r="G563" s="506"/>
      <c r="H563" s="511"/>
      <c r="I563" s="218"/>
      <c r="J563" s="180"/>
      <c r="K563" s="532"/>
      <c r="L563" s="60"/>
      <c r="M563" s="532"/>
      <c r="N563" s="532"/>
      <c r="O563" s="532"/>
      <c r="P563" s="532"/>
      <c r="Q563" s="234"/>
      <c r="R563" s="98"/>
      <c r="S563" s="168"/>
      <c r="T563" s="7"/>
    </row>
    <row r="564" spans="1:20" s="169" customFormat="1" ht="15" hidden="1" customHeight="1">
      <c r="A564" s="23"/>
      <c r="B564" s="23"/>
      <c r="C564" s="23"/>
      <c r="D564" s="949"/>
      <c r="E564" s="967"/>
      <c r="F564" s="967"/>
      <c r="G564" s="506"/>
      <c r="H564" s="511"/>
      <c r="I564" s="218"/>
      <c r="J564" s="180"/>
      <c r="K564" s="532"/>
      <c r="L564" s="60"/>
      <c r="M564" s="532"/>
      <c r="N564" s="532"/>
      <c r="O564" s="532"/>
      <c r="P564" s="532"/>
      <c r="Q564" s="234"/>
      <c r="R564" s="98"/>
      <c r="S564" s="168"/>
      <c r="T564" s="7"/>
    </row>
    <row r="565" spans="1:20" s="169" customFormat="1" ht="15" hidden="1" customHeight="1">
      <c r="A565" s="23"/>
      <c r="B565" s="23"/>
      <c r="C565" s="23"/>
      <c r="D565" s="949"/>
      <c r="E565" s="967"/>
      <c r="F565" s="967"/>
      <c r="G565" s="506"/>
      <c r="H565" s="511"/>
      <c r="I565" s="218"/>
      <c r="J565" s="180"/>
      <c r="K565" s="532"/>
      <c r="L565" s="60"/>
      <c r="M565" s="532"/>
      <c r="N565" s="532"/>
      <c r="O565" s="532"/>
      <c r="P565" s="532"/>
      <c r="Q565" s="234"/>
      <c r="R565" s="98"/>
      <c r="S565" s="168"/>
      <c r="T565" s="7"/>
    </row>
    <row r="566" spans="1:20" s="169" customFormat="1" ht="15" hidden="1" customHeight="1">
      <c r="A566" s="23"/>
      <c r="B566" s="23"/>
      <c r="C566" s="23"/>
      <c r="D566" s="949"/>
      <c r="E566" s="967"/>
      <c r="F566" s="967"/>
      <c r="G566" s="506"/>
      <c r="H566" s="511"/>
      <c r="I566" s="218"/>
      <c r="J566" s="180"/>
      <c r="K566" s="532"/>
      <c r="L566" s="60"/>
      <c r="M566" s="532"/>
      <c r="N566" s="532"/>
      <c r="O566" s="532"/>
      <c r="P566" s="532"/>
      <c r="Q566" s="532"/>
      <c r="R566" s="98"/>
      <c r="S566" s="168"/>
      <c r="T566" s="7"/>
    </row>
    <row r="567" spans="1:20" s="169" customFormat="1" ht="15" hidden="1" customHeight="1">
      <c r="A567" s="23"/>
      <c r="B567" s="23"/>
      <c r="C567" s="23"/>
      <c r="D567" s="949"/>
      <c r="E567" s="967"/>
      <c r="F567" s="967"/>
      <c r="G567" s="506"/>
      <c r="H567" s="511"/>
      <c r="I567" s="218"/>
      <c r="J567" s="180"/>
      <c r="K567" s="532"/>
      <c r="L567" s="60"/>
      <c r="M567" s="532"/>
      <c r="N567" s="532"/>
      <c r="O567" s="532"/>
      <c r="P567" s="532"/>
      <c r="Q567" s="532"/>
      <c r="R567" s="98"/>
      <c r="S567" s="168"/>
      <c r="T567" s="7"/>
    </row>
    <row r="568" spans="1:20" s="169" customFormat="1" ht="15" hidden="1" customHeight="1">
      <c r="A568" s="23"/>
      <c r="B568" s="23"/>
      <c r="C568" s="23"/>
      <c r="D568" s="949"/>
      <c r="E568" s="499"/>
      <c r="F568" s="499"/>
      <c r="G568" s="506"/>
      <c r="H568" s="511"/>
      <c r="I568" s="218"/>
      <c r="J568" s="180"/>
      <c r="K568" s="532"/>
      <c r="L568" s="60"/>
      <c r="M568" s="532"/>
      <c r="N568" s="532"/>
      <c r="O568" s="532"/>
      <c r="P568" s="532"/>
      <c r="Q568" s="532"/>
      <c r="R568" s="98"/>
      <c r="S568" s="168"/>
      <c r="T568" s="7"/>
    </row>
    <row r="569" spans="1:20" s="169" customFormat="1" ht="15" hidden="1" customHeight="1">
      <c r="A569" s="23"/>
      <c r="B569" s="23"/>
      <c r="C569" s="23"/>
      <c r="D569" s="949"/>
      <c r="E569" s="499"/>
      <c r="F569" s="499"/>
      <c r="G569" s="506"/>
      <c r="H569" s="511"/>
      <c r="I569" s="218"/>
      <c r="J569" s="180"/>
      <c r="K569" s="532"/>
      <c r="L569" s="60"/>
      <c r="M569" s="532"/>
      <c r="N569" s="532"/>
      <c r="O569" s="532"/>
      <c r="P569" s="532"/>
      <c r="Q569" s="532"/>
      <c r="R569" s="98"/>
      <c r="S569" s="168"/>
      <c r="T569" s="7"/>
    </row>
    <row r="570" spans="1:20" s="169" customFormat="1" ht="15" hidden="1" customHeight="1">
      <c r="A570" s="23"/>
      <c r="B570" s="23"/>
      <c r="C570" s="23"/>
      <c r="D570" s="949"/>
      <c r="E570" s="504"/>
      <c r="F570" s="504"/>
      <c r="G570" s="506"/>
      <c r="H570" s="511"/>
      <c r="I570" s="218"/>
      <c r="J570" s="180"/>
      <c r="K570" s="532"/>
      <c r="L570" s="60"/>
      <c r="M570" s="532"/>
      <c r="N570" s="532"/>
      <c r="O570" s="532"/>
      <c r="P570" s="532"/>
      <c r="Q570" s="532"/>
      <c r="R570" s="98"/>
      <c r="S570" s="168"/>
      <c r="T570" s="7"/>
    </row>
    <row r="571" spans="1:20" s="169" customFormat="1" ht="15" hidden="1" customHeight="1">
      <c r="A571" s="23"/>
      <c r="B571" s="23"/>
      <c r="C571" s="23"/>
      <c r="D571" s="949"/>
      <c r="E571" s="504"/>
      <c r="F571" s="504"/>
      <c r="G571" s="506"/>
      <c r="H571" s="511"/>
      <c r="I571" s="218"/>
      <c r="J571" s="180"/>
      <c r="K571" s="532"/>
      <c r="L571" s="532"/>
      <c r="M571" s="532"/>
      <c r="N571" s="532"/>
      <c r="O571" s="532"/>
      <c r="P571" s="532"/>
      <c r="Q571" s="532"/>
      <c r="R571" s="98"/>
      <c r="S571" s="168"/>
      <c r="T571" s="7"/>
    </row>
    <row r="572" spans="1:20" s="169" customFormat="1" ht="15" hidden="1" customHeight="1">
      <c r="A572" s="497"/>
      <c r="B572" s="497"/>
      <c r="C572" s="497"/>
      <c r="D572" s="950"/>
      <c r="E572" s="512"/>
      <c r="F572" s="512"/>
      <c r="G572" s="533"/>
      <c r="H572" s="521"/>
      <c r="I572" s="243"/>
      <c r="J572" s="244"/>
      <c r="K572" s="222"/>
      <c r="L572" s="222"/>
      <c r="M572" s="222"/>
      <c r="N572" s="222"/>
      <c r="O572" s="222"/>
      <c r="P572" s="222"/>
      <c r="Q572" s="222" t="s">
        <v>23</v>
      </c>
      <c r="R572" s="213">
        <f>R562+R563+R566+R567</f>
        <v>0</v>
      </c>
      <c r="S572" s="168">
        <v>0</v>
      </c>
      <c r="T572" s="7">
        <f>R572-S572</f>
        <v>0</v>
      </c>
    </row>
    <row r="573" spans="1:20" s="169" customFormat="1" ht="15" customHeight="1">
      <c r="A573" s="23"/>
      <c r="B573" s="23"/>
      <c r="C573" s="88"/>
      <c r="D573" s="955" t="s">
        <v>626</v>
      </c>
      <c r="E573" s="917">
        <v>0</v>
      </c>
      <c r="F573" s="917">
        <f>S648/1000</f>
        <v>0</v>
      </c>
      <c r="G573" s="935">
        <f>F573+F575-E573-E575</f>
        <v>-5788.9899999999907</v>
      </c>
      <c r="H573" s="964">
        <f>G573/(E573+E575)</f>
        <v>-3.4141852002571353E-2</v>
      </c>
      <c r="I573" s="667" t="s">
        <v>622</v>
      </c>
      <c r="J573" s="226"/>
      <c r="K573" s="28"/>
      <c r="L573" s="28"/>
      <c r="M573" s="28"/>
      <c r="N573" s="28"/>
      <c r="O573" s="28"/>
      <c r="P573" s="28"/>
      <c r="Q573" s="28"/>
      <c r="R573" s="217">
        <f>R574+R594+R598+R603+R604+R605+R606+R607+R608+R611</f>
        <v>119854700</v>
      </c>
      <c r="S573" s="168"/>
      <c r="T573" s="7"/>
    </row>
    <row r="574" spans="1:20" s="169" customFormat="1" ht="15" customHeight="1">
      <c r="A574" s="23"/>
      <c r="B574" s="23"/>
      <c r="C574" s="23"/>
      <c r="D574" s="965"/>
      <c r="E574" s="917"/>
      <c r="F574" s="917"/>
      <c r="G574" s="935"/>
      <c r="H574" s="964"/>
      <c r="I574" s="35"/>
      <c r="J574" s="224"/>
      <c r="K574" s="224"/>
      <c r="L574" s="224"/>
      <c r="M574" s="224"/>
      <c r="N574" s="224"/>
      <c r="O574" s="224"/>
      <c r="P574" s="224"/>
      <c r="Q574" s="60"/>
      <c r="R574" s="98">
        <f>SUM(R575:R592)</f>
        <v>112916700</v>
      </c>
      <c r="S574" s="168"/>
      <c r="T574" s="7"/>
    </row>
    <row r="575" spans="1:20" s="169" customFormat="1" ht="15" customHeight="1">
      <c r="A575" s="23"/>
      <c r="B575" s="23"/>
      <c r="C575" s="23"/>
      <c r="D575" s="965"/>
      <c r="E575" s="923">
        <v>169557</v>
      </c>
      <c r="F575" s="923">
        <f>T648/1000</f>
        <v>163768.01</v>
      </c>
      <c r="G575" s="935"/>
      <c r="H575" s="964"/>
      <c r="I575" s="218" t="s">
        <v>211</v>
      </c>
      <c r="J575" s="529"/>
      <c r="K575" s="523"/>
      <c r="L575" s="219"/>
      <c r="M575" s="523"/>
      <c r="N575" s="523"/>
      <c r="O575" s="219"/>
      <c r="P575" s="523"/>
      <c r="Q575" s="20"/>
      <c r="R575" s="68"/>
      <c r="S575" s="168"/>
      <c r="T575" s="7"/>
    </row>
    <row r="576" spans="1:20" s="169" customFormat="1" ht="15" customHeight="1">
      <c r="A576" s="23"/>
      <c r="B576" s="23"/>
      <c r="C576" s="23"/>
      <c r="D576" s="965"/>
      <c r="E576" s="917"/>
      <c r="F576" s="917"/>
      <c r="G576" s="935"/>
      <c r="H576" s="964"/>
      <c r="I576" s="218"/>
      <c r="J576" s="529">
        <v>35000</v>
      </c>
      <c r="K576" s="523" t="s">
        <v>20</v>
      </c>
      <c r="L576" s="219">
        <v>3</v>
      </c>
      <c r="M576" s="523" t="s">
        <v>151</v>
      </c>
      <c r="N576" s="523" t="s">
        <v>20</v>
      </c>
      <c r="O576" s="219">
        <v>40</v>
      </c>
      <c r="P576" s="523" t="s">
        <v>152</v>
      </c>
      <c r="Q576" s="20" t="s">
        <v>22</v>
      </c>
      <c r="R576" s="68">
        <f>J576*L576*O576</f>
        <v>4200000</v>
      </c>
      <c r="S576" s="168"/>
      <c r="T576" s="7"/>
    </row>
    <row r="577" spans="1:20" s="169" customFormat="1" ht="15" customHeight="1">
      <c r="A577" s="23"/>
      <c r="B577" s="23"/>
      <c r="C577" s="23"/>
      <c r="D577" s="965"/>
      <c r="E577" s="917"/>
      <c r="F577" s="917"/>
      <c r="G577" s="935"/>
      <c r="H577" s="964"/>
      <c r="I577" s="218" t="s">
        <v>501</v>
      </c>
      <c r="J577" s="529"/>
      <c r="K577" s="523"/>
      <c r="L577" s="219"/>
      <c r="M577" s="523"/>
      <c r="N577" s="523"/>
      <c r="O577" s="219"/>
      <c r="P577" s="523"/>
      <c r="Q577" s="20"/>
      <c r="R577" s="68"/>
      <c r="S577" s="168"/>
      <c r="T577" s="7"/>
    </row>
    <row r="578" spans="1:20" s="169" customFormat="1" ht="15" customHeight="1">
      <c r="A578" s="23"/>
      <c r="B578" s="22"/>
      <c r="C578" s="35"/>
      <c r="D578" s="557"/>
      <c r="E578" s="504"/>
      <c r="F578" s="504"/>
      <c r="G578" s="506"/>
      <c r="H578" s="511"/>
      <c r="I578" s="202"/>
      <c r="J578" s="529">
        <v>35000</v>
      </c>
      <c r="K578" s="523" t="s">
        <v>20</v>
      </c>
      <c r="L578" s="219">
        <v>6</v>
      </c>
      <c r="M578" s="523" t="s">
        <v>151</v>
      </c>
      <c r="N578" s="523" t="s">
        <v>20</v>
      </c>
      <c r="O578" s="219">
        <v>41</v>
      </c>
      <c r="P578" s="523" t="s">
        <v>152</v>
      </c>
      <c r="Q578" s="20" t="s">
        <v>22</v>
      </c>
      <c r="R578" s="68">
        <f>J578*L578*O578</f>
        <v>8610000</v>
      </c>
      <c r="S578" s="168"/>
      <c r="T578" s="7"/>
    </row>
    <row r="579" spans="1:20" s="169" customFormat="1" ht="15" customHeight="1">
      <c r="A579" s="23"/>
      <c r="B579" s="22"/>
      <c r="C579" s="35"/>
      <c r="D579" s="34"/>
      <c r="E579" s="44"/>
      <c r="F579" s="44"/>
      <c r="G579" s="506"/>
      <c r="H579" s="233"/>
      <c r="I579" s="202" t="s">
        <v>212</v>
      </c>
      <c r="J579" s="529"/>
      <c r="K579" s="523"/>
      <c r="L579" s="219"/>
      <c r="M579" s="523"/>
      <c r="N579" s="523"/>
      <c r="O579" s="219"/>
      <c r="P579" s="523"/>
      <c r="Q579" s="20"/>
      <c r="R579" s="68"/>
      <c r="S579" s="168"/>
      <c r="T579" s="7"/>
    </row>
    <row r="580" spans="1:20" s="169" customFormat="1" ht="15" customHeight="1">
      <c r="A580" s="23"/>
      <c r="B580" s="22"/>
      <c r="C580" s="35"/>
      <c r="D580" s="34"/>
      <c r="E580" s="44"/>
      <c r="F580" s="44"/>
      <c r="G580" s="506"/>
      <c r="H580" s="233"/>
      <c r="I580" s="202"/>
      <c r="J580" s="529">
        <v>35000</v>
      </c>
      <c r="K580" s="523" t="s">
        <v>50</v>
      </c>
      <c r="L580" s="219">
        <v>6</v>
      </c>
      <c r="M580" s="523" t="s">
        <v>151</v>
      </c>
      <c r="N580" s="523" t="s">
        <v>50</v>
      </c>
      <c r="O580" s="219">
        <v>41</v>
      </c>
      <c r="P580" s="523" t="s">
        <v>152</v>
      </c>
      <c r="Q580" s="20" t="s">
        <v>22</v>
      </c>
      <c r="R580" s="68">
        <f>J580*L580*O580</f>
        <v>8610000</v>
      </c>
      <c r="S580" s="168"/>
      <c r="T580" s="7"/>
    </row>
    <row r="581" spans="1:20" s="169" customFormat="1" ht="14.25" customHeight="1">
      <c r="A581" s="23"/>
      <c r="B581" s="22"/>
      <c r="C581" s="35"/>
      <c r="D581" s="34"/>
      <c r="E581" s="44"/>
      <c r="F581" s="44"/>
      <c r="G581" s="506"/>
      <c r="H581" s="233"/>
      <c r="I581" s="202" t="s">
        <v>213</v>
      </c>
      <c r="J581" s="529"/>
      <c r="K581" s="523"/>
      <c r="L581" s="219"/>
      <c r="M581" s="523"/>
      <c r="N581" s="523"/>
      <c r="O581" s="219"/>
      <c r="P581" s="523"/>
      <c r="Q581" s="20"/>
      <c r="R581" s="68"/>
      <c r="S581" s="168"/>
      <c r="T581" s="7"/>
    </row>
    <row r="582" spans="1:20" s="169" customFormat="1" ht="14.25" customHeight="1">
      <c r="A582" s="23"/>
      <c r="B582" s="22"/>
      <c r="C582" s="35"/>
      <c r="D582" s="34"/>
      <c r="E582" s="44"/>
      <c r="F582" s="44"/>
      <c r="G582" s="506"/>
      <c r="H582" s="233"/>
      <c r="I582" s="202"/>
      <c r="J582" s="529">
        <v>35000</v>
      </c>
      <c r="K582" s="523" t="s">
        <v>50</v>
      </c>
      <c r="L582" s="219">
        <v>6</v>
      </c>
      <c r="M582" s="523" t="s">
        <v>151</v>
      </c>
      <c r="N582" s="523" t="s">
        <v>50</v>
      </c>
      <c r="O582" s="219">
        <v>38</v>
      </c>
      <c r="P582" s="523" t="s">
        <v>152</v>
      </c>
      <c r="Q582" s="20" t="s">
        <v>22</v>
      </c>
      <c r="R582" s="68">
        <f>J582*L582*O582</f>
        <v>7980000</v>
      </c>
      <c r="S582" s="168"/>
      <c r="T582" s="7"/>
    </row>
    <row r="583" spans="1:20" s="169" customFormat="1" ht="15" customHeight="1">
      <c r="A583" s="23"/>
      <c r="B583" s="22"/>
      <c r="C583" s="35"/>
      <c r="D583" s="339"/>
      <c r="E583" s="44"/>
      <c r="F583" s="44"/>
      <c r="G583" s="506"/>
      <c r="H583" s="233"/>
      <c r="I583" s="202" t="s">
        <v>502</v>
      </c>
      <c r="J583" s="529"/>
      <c r="K583" s="523"/>
      <c r="L583" s="219"/>
      <c r="M583" s="523"/>
      <c r="N583" s="523"/>
      <c r="O583" s="219"/>
      <c r="P583" s="523"/>
      <c r="Q583" s="27"/>
      <c r="R583" s="68"/>
      <c r="S583" s="168"/>
      <c r="T583" s="7"/>
    </row>
    <row r="584" spans="1:20" s="169" customFormat="1" ht="15" customHeight="1">
      <c r="A584" s="23"/>
      <c r="B584" s="22"/>
      <c r="C584" s="35"/>
      <c r="D584" s="339"/>
      <c r="E584" s="44"/>
      <c r="F584" s="44"/>
      <c r="G584" s="506"/>
      <c r="H584" s="233"/>
      <c r="I584" s="202"/>
      <c r="J584" s="529">
        <v>35000</v>
      </c>
      <c r="K584" s="523" t="s">
        <v>20</v>
      </c>
      <c r="L584" s="219">
        <v>6</v>
      </c>
      <c r="M584" s="523" t="s">
        <v>151</v>
      </c>
      <c r="N584" s="523" t="s">
        <v>20</v>
      </c>
      <c r="O584" s="219">
        <v>39</v>
      </c>
      <c r="P584" s="523" t="s">
        <v>152</v>
      </c>
      <c r="Q584" s="27" t="s">
        <v>22</v>
      </c>
      <c r="R584" s="68">
        <f>J584*L584*O584</f>
        <v>8190000</v>
      </c>
      <c r="S584" s="168"/>
      <c r="T584" s="7"/>
    </row>
    <row r="585" spans="1:20" s="169" customFormat="1" ht="15" customHeight="1">
      <c r="A585" s="23"/>
      <c r="B585" s="22"/>
      <c r="C585" s="35"/>
      <c r="D585" s="339"/>
      <c r="E585" s="44"/>
      <c r="F585" s="44"/>
      <c r="G585" s="649"/>
      <c r="H585" s="233"/>
      <c r="I585" s="202" t="s">
        <v>937</v>
      </c>
      <c r="J585" s="652"/>
      <c r="K585" s="650"/>
      <c r="L585" s="219"/>
      <c r="M585" s="650"/>
      <c r="N585" s="650"/>
      <c r="O585" s="219"/>
      <c r="P585" s="650"/>
      <c r="Q585" s="27"/>
      <c r="R585" s="68"/>
      <c r="S585" s="168"/>
      <c r="T585" s="7"/>
    </row>
    <row r="586" spans="1:20" s="169" customFormat="1" ht="15" customHeight="1">
      <c r="A586" s="23"/>
      <c r="B586" s="22"/>
      <c r="C586" s="35"/>
      <c r="D586" s="339"/>
      <c r="E586" s="44"/>
      <c r="F586" s="44"/>
      <c r="G586" s="649"/>
      <c r="H586" s="233"/>
      <c r="I586" s="202"/>
      <c r="J586" s="652">
        <v>35000</v>
      </c>
      <c r="K586" s="650" t="s">
        <v>20</v>
      </c>
      <c r="L586" s="219">
        <v>3</v>
      </c>
      <c r="M586" s="650" t="s">
        <v>151</v>
      </c>
      <c r="N586" s="650" t="s">
        <v>20</v>
      </c>
      <c r="O586" s="219">
        <v>21</v>
      </c>
      <c r="P586" s="650" t="s">
        <v>152</v>
      </c>
      <c r="Q586" s="27" t="s">
        <v>22</v>
      </c>
      <c r="R586" s="68">
        <f>J586*L586*O586</f>
        <v>2205000</v>
      </c>
      <c r="S586" s="168"/>
      <c r="T586" s="7"/>
    </row>
    <row r="587" spans="1:20" s="169" customFormat="1" ht="15" customHeight="1">
      <c r="A587" s="23"/>
      <c r="B587" s="22"/>
      <c r="C587" s="35"/>
      <c r="D587" s="339"/>
      <c r="E587" s="44"/>
      <c r="F587" s="44"/>
      <c r="G587" s="649"/>
      <c r="H587" s="233"/>
      <c r="I587" s="202" t="s">
        <v>938</v>
      </c>
      <c r="J587" s="652"/>
      <c r="K587" s="650"/>
      <c r="L587" s="219"/>
      <c r="M587" s="650"/>
      <c r="N587" s="650"/>
      <c r="O587" s="219"/>
      <c r="P587" s="650"/>
      <c r="Q587" s="27"/>
      <c r="R587" s="68"/>
      <c r="S587" s="168"/>
      <c r="T587" s="7"/>
    </row>
    <row r="588" spans="1:20" s="169" customFormat="1" ht="15" customHeight="1">
      <c r="A588" s="23"/>
      <c r="B588" s="22"/>
      <c r="C588" s="35"/>
      <c r="D588" s="339"/>
      <c r="E588" s="44"/>
      <c r="F588" s="44"/>
      <c r="G588" s="649"/>
      <c r="H588" s="233"/>
      <c r="I588" s="202"/>
      <c r="J588" s="652">
        <v>1750000</v>
      </c>
      <c r="K588" s="650" t="s">
        <v>20</v>
      </c>
      <c r="L588" s="219">
        <v>10</v>
      </c>
      <c r="M588" s="650" t="s">
        <v>34</v>
      </c>
      <c r="N588" s="650"/>
      <c r="O588" s="219"/>
      <c r="P588" s="650"/>
      <c r="Q588" s="20" t="s">
        <v>22</v>
      </c>
      <c r="R588" s="68">
        <f>J588*L588</f>
        <v>17500000</v>
      </c>
      <c r="S588" s="168"/>
      <c r="T588" s="7"/>
    </row>
    <row r="589" spans="1:20" s="169" customFormat="1" ht="15" customHeight="1">
      <c r="A589" s="23"/>
      <c r="B589" s="22"/>
      <c r="C589" s="35"/>
      <c r="D589" s="339"/>
      <c r="E589" s="44"/>
      <c r="F589" s="44"/>
      <c r="G589" s="649"/>
      <c r="H589" s="233"/>
      <c r="I589" s="202" t="s">
        <v>939</v>
      </c>
      <c r="J589" s="652"/>
      <c r="K589" s="650"/>
      <c r="L589" s="219"/>
      <c r="M589" s="650"/>
      <c r="N589" s="650"/>
      <c r="O589" s="219"/>
      <c r="P589" s="650"/>
      <c r="Q589" s="20"/>
      <c r="R589" s="68"/>
      <c r="S589" s="168"/>
      <c r="T589" s="7"/>
    </row>
    <row r="590" spans="1:20" s="169" customFormat="1" ht="15" customHeight="1">
      <c r="A590" s="23"/>
      <c r="B590" s="22"/>
      <c r="C590" s="35"/>
      <c r="D590" s="339"/>
      <c r="E590" s="44"/>
      <c r="F590" s="44"/>
      <c r="G590" s="649"/>
      <c r="H590" s="233"/>
      <c r="I590" s="202"/>
      <c r="J590" s="652">
        <v>1750000</v>
      </c>
      <c r="K590" s="650" t="s">
        <v>50</v>
      </c>
      <c r="L590" s="219">
        <v>10</v>
      </c>
      <c r="M590" s="650" t="s">
        <v>34</v>
      </c>
      <c r="N590" s="650" t="s">
        <v>50</v>
      </c>
      <c r="O590" s="672">
        <v>0.1</v>
      </c>
      <c r="P590" s="650"/>
      <c r="Q590" s="20" t="s">
        <v>22</v>
      </c>
      <c r="R590" s="68">
        <f>J590*L590*O590</f>
        <v>1750000</v>
      </c>
      <c r="S590" s="168"/>
      <c r="T590" s="7"/>
    </row>
    <row r="591" spans="1:20" s="169" customFormat="1" ht="15" customHeight="1">
      <c r="A591" s="23"/>
      <c r="B591" s="22"/>
      <c r="C591" s="35"/>
      <c r="D591" s="339"/>
      <c r="E591" s="44"/>
      <c r="F591" s="44"/>
      <c r="G591" s="715"/>
      <c r="H591" s="233"/>
      <c r="I591" s="202"/>
      <c r="J591" s="717"/>
      <c r="K591" s="713"/>
      <c r="L591" s="219"/>
      <c r="M591" s="713"/>
      <c r="N591" s="713"/>
      <c r="O591" s="672"/>
      <c r="P591" s="713"/>
      <c r="Q591" s="20"/>
      <c r="R591" s="68"/>
      <c r="S591" s="168"/>
      <c r="T591" s="7"/>
    </row>
    <row r="592" spans="1:20" s="169" customFormat="1" ht="15" customHeight="1">
      <c r="A592" s="23"/>
      <c r="B592" s="22"/>
      <c r="C592" s="35"/>
      <c r="D592" s="339"/>
      <c r="E592" s="44"/>
      <c r="F592" s="44"/>
      <c r="G592" s="715"/>
      <c r="H592" s="233"/>
      <c r="I592" s="202" t="s">
        <v>1083</v>
      </c>
      <c r="J592" s="717"/>
      <c r="K592" s="713"/>
      <c r="L592" s="219"/>
      <c r="M592" s="713"/>
      <c r="N592" s="713"/>
      <c r="O592" s="672"/>
      <c r="P592" s="713"/>
      <c r="Q592" s="20"/>
      <c r="R592" s="68">
        <v>53871700</v>
      </c>
      <c r="S592" s="168"/>
      <c r="T592" s="7"/>
    </row>
    <row r="593" spans="1:20" s="169" customFormat="1" ht="15" customHeight="1">
      <c r="A593" s="23"/>
      <c r="B593" s="22"/>
      <c r="C593" s="35"/>
      <c r="D593" s="339"/>
      <c r="E593" s="44"/>
      <c r="F593" s="44"/>
      <c r="G593" s="649"/>
      <c r="H593" s="233"/>
      <c r="I593" s="202"/>
      <c r="J593" s="652"/>
      <c r="K593" s="650"/>
      <c r="L593" s="219"/>
      <c r="M593" s="650"/>
      <c r="N593" s="650"/>
      <c r="O593" s="219"/>
      <c r="P593" s="650"/>
      <c r="Q593" s="27"/>
      <c r="R593" s="68"/>
      <c r="S593" s="168"/>
      <c r="T593" s="7"/>
    </row>
    <row r="594" spans="1:20" s="169" customFormat="1" ht="15" customHeight="1">
      <c r="A594" s="23"/>
      <c r="B594" s="22"/>
      <c r="C594" s="35"/>
      <c r="D594" s="34"/>
      <c r="E594" s="44"/>
      <c r="F594" s="44"/>
      <c r="G594" s="506"/>
      <c r="H594" s="233"/>
      <c r="I594" s="202" t="s">
        <v>214</v>
      </c>
      <c r="J594" s="529"/>
      <c r="K594" s="523"/>
      <c r="L594" s="219"/>
      <c r="M594" s="523"/>
      <c r="N594" s="523"/>
      <c r="O594" s="219"/>
      <c r="P594" s="523"/>
      <c r="Q594" s="20"/>
      <c r="R594" s="68">
        <f>SUM(R595:R596)</f>
        <v>500000</v>
      </c>
      <c r="S594" s="168"/>
      <c r="T594" s="7"/>
    </row>
    <row r="595" spans="1:20" s="169" customFormat="1" ht="15" customHeight="1">
      <c r="A595" s="23"/>
      <c r="B595" s="22"/>
      <c r="C595" s="35"/>
      <c r="D595" s="34"/>
      <c r="E595" s="44"/>
      <c r="F595" s="44"/>
      <c r="G595" s="506"/>
      <c r="H595" s="233"/>
      <c r="I595" s="202" t="s">
        <v>215</v>
      </c>
      <c r="J595" s="529">
        <v>100000</v>
      </c>
      <c r="K595" s="523" t="s">
        <v>20</v>
      </c>
      <c r="L595" s="219">
        <v>2</v>
      </c>
      <c r="M595" s="523" t="s">
        <v>157</v>
      </c>
      <c r="N595" s="523"/>
      <c r="O595" s="219"/>
      <c r="P595" s="523"/>
      <c r="Q595" s="20" t="s">
        <v>22</v>
      </c>
      <c r="R595" s="68">
        <f>J595*L595</f>
        <v>200000</v>
      </c>
      <c r="S595" s="168"/>
      <c r="T595" s="7"/>
    </row>
    <row r="596" spans="1:20" s="169" customFormat="1" ht="15" customHeight="1">
      <c r="A596" s="23"/>
      <c r="B596" s="22"/>
      <c r="C596" s="35"/>
      <c r="D596" s="34"/>
      <c r="E596" s="44"/>
      <c r="F596" s="44"/>
      <c r="G596" s="506"/>
      <c r="H596" s="233"/>
      <c r="I596" s="202" t="s">
        <v>216</v>
      </c>
      <c r="J596" s="529">
        <v>150000</v>
      </c>
      <c r="K596" s="523" t="s">
        <v>20</v>
      </c>
      <c r="L596" s="219">
        <v>2</v>
      </c>
      <c r="M596" s="523" t="s">
        <v>157</v>
      </c>
      <c r="N596" s="523"/>
      <c r="O596" s="219"/>
      <c r="P596" s="523"/>
      <c r="Q596" s="20" t="s">
        <v>22</v>
      </c>
      <c r="R596" s="68">
        <f>J596*L596</f>
        <v>300000</v>
      </c>
      <c r="S596" s="340"/>
      <c r="T596" s="7"/>
    </row>
    <row r="597" spans="1:20" s="169" customFormat="1" ht="15" customHeight="1">
      <c r="A597" s="23"/>
      <c r="B597" s="22"/>
      <c r="C597" s="35"/>
      <c r="D597" s="34"/>
      <c r="E597" s="44"/>
      <c r="F597" s="44"/>
      <c r="G597" s="649"/>
      <c r="H597" s="233"/>
      <c r="I597" s="202"/>
      <c r="J597" s="652"/>
      <c r="K597" s="650"/>
      <c r="L597" s="219"/>
      <c r="M597" s="650"/>
      <c r="N597" s="650"/>
      <c r="O597" s="219"/>
      <c r="P597" s="650"/>
      <c r="Q597" s="20"/>
      <c r="R597" s="68"/>
      <c r="S597" s="340"/>
      <c r="T597" s="7"/>
    </row>
    <row r="598" spans="1:20" s="169" customFormat="1" ht="15" customHeight="1">
      <c r="A598" s="23"/>
      <c r="B598" s="22"/>
      <c r="C598" s="34"/>
      <c r="D598" s="35"/>
      <c r="E598" s="44"/>
      <c r="F598" s="44"/>
      <c r="G598" s="506"/>
      <c r="H598" s="225"/>
      <c r="I598" s="202" t="s">
        <v>223</v>
      </c>
      <c r="J598" s="529"/>
      <c r="K598" s="523"/>
      <c r="L598" s="219"/>
      <c r="M598" s="523"/>
      <c r="N598" s="523"/>
      <c r="O598" s="219"/>
      <c r="P598" s="523"/>
      <c r="Q598" s="20"/>
      <c r="R598" s="68">
        <f>SUM(R599:R602)</f>
        <v>1588000</v>
      </c>
      <c r="S598" s="168"/>
      <c r="T598" s="7"/>
    </row>
    <row r="599" spans="1:20" s="169" customFormat="1" ht="15" customHeight="1">
      <c r="A599" s="23"/>
      <c r="B599" s="22"/>
      <c r="C599" s="34"/>
      <c r="D599" s="35"/>
      <c r="E599" s="44"/>
      <c r="F599" s="44"/>
      <c r="G599" s="506"/>
      <c r="H599" s="225"/>
      <c r="I599" s="202" t="s">
        <v>679</v>
      </c>
      <c r="J599" s="529">
        <v>30000</v>
      </c>
      <c r="K599" s="523" t="s">
        <v>20</v>
      </c>
      <c r="L599" s="219">
        <v>18</v>
      </c>
      <c r="M599" s="523" t="s">
        <v>21</v>
      </c>
      <c r="N599" s="523" t="s">
        <v>20</v>
      </c>
      <c r="O599" s="219">
        <v>2</v>
      </c>
      <c r="P599" s="523" t="s">
        <v>157</v>
      </c>
      <c r="Q599" s="20" t="s">
        <v>22</v>
      </c>
      <c r="R599" s="68">
        <f>J599*L599*O599</f>
        <v>1080000</v>
      </c>
      <c r="S599" s="168"/>
      <c r="T599" s="7"/>
    </row>
    <row r="600" spans="1:20" s="169" customFormat="1" ht="15" customHeight="1">
      <c r="A600" s="23"/>
      <c r="B600" s="22"/>
      <c r="C600" s="34"/>
      <c r="D600" s="35"/>
      <c r="E600" s="44"/>
      <c r="F600" s="44"/>
      <c r="G600" s="506"/>
      <c r="H600" s="225"/>
      <c r="I600" s="202" t="s">
        <v>164</v>
      </c>
      <c r="J600" s="529">
        <v>3000</v>
      </c>
      <c r="K600" s="523" t="s">
        <v>20</v>
      </c>
      <c r="L600" s="219">
        <v>18</v>
      </c>
      <c r="M600" s="523" t="s">
        <v>21</v>
      </c>
      <c r="N600" s="523" t="s">
        <v>20</v>
      </c>
      <c r="O600" s="219">
        <v>2</v>
      </c>
      <c r="P600" s="523" t="s">
        <v>157</v>
      </c>
      <c r="Q600" s="20" t="s">
        <v>22</v>
      </c>
      <c r="R600" s="68">
        <f>J600*L600*O600</f>
        <v>108000</v>
      </c>
      <c r="S600" s="168"/>
      <c r="T600" s="7"/>
    </row>
    <row r="601" spans="1:20" s="169" customFormat="1" ht="15" customHeight="1">
      <c r="A601" s="23"/>
      <c r="B601" s="22"/>
      <c r="C601" s="34"/>
      <c r="D601" s="35"/>
      <c r="E601" s="44"/>
      <c r="F601" s="44"/>
      <c r="G601" s="506"/>
      <c r="H601" s="225"/>
      <c r="I601" s="202" t="s">
        <v>504</v>
      </c>
      <c r="J601" s="529">
        <v>100000</v>
      </c>
      <c r="K601" s="523" t="s">
        <v>20</v>
      </c>
      <c r="L601" s="219">
        <v>1</v>
      </c>
      <c r="M601" s="523" t="s">
        <v>25</v>
      </c>
      <c r="N601" s="523" t="s">
        <v>20</v>
      </c>
      <c r="O601" s="219">
        <v>2</v>
      </c>
      <c r="P601" s="523" t="s">
        <v>157</v>
      </c>
      <c r="Q601" s="20" t="s">
        <v>22</v>
      </c>
      <c r="R601" s="68">
        <f>J601*L601*O601</f>
        <v>200000</v>
      </c>
      <c r="S601" s="168"/>
      <c r="T601" s="7"/>
    </row>
    <row r="602" spans="1:20" s="169" customFormat="1" ht="15" customHeight="1">
      <c r="A602" s="23"/>
      <c r="B602" s="22"/>
      <c r="C602" s="34"/>
      <c r="D602" s="35"/>
      <c r="E602" s="44"/>
      <c r="F602" s="44"/>
      <c r="G602" s="506"/>
      <c r="H602" s="225"/>
      <c r="I602" s="202" t="s">
        <v>505</v>
      </c>
      <c r="J602" s="529">
        <v>100000</v>
      </c>
      <c r="K602" s="523" t="s">
        <v>20</v>
      </c>
      <c r="L602" s="219">
        <v>1</v>
      </c>
      <c r="M602" s="523" t="s">
        <v>25</v>
      </c>
      <c r="N602" s="523" t="s">
        <v>20</v>
      </c>
      <c r="O602" s="219">
        <v>2</v>
      </c>
      <c r="P602" s="523" t="s">
        <v>157</v>
      </c>
      <c r="Q602" s="20" t="s">
        <v>22</v>
      </c>
      <c r="R602" s="68">
        <f>J602*L602*O602</f>
        <v>200000</v>
      </c>
      <c r="S602" s="168"/>
      <c r="T602" s="7"/>
    </row>
    <row r="603" spans="1:20" s="169" customFormat="1" ht="15" customHeight="1">
      <c r="A603" s="23"/>
      <c r="B603" s="22"/>
      <c r="C603" s="34"/>
      <c r="D603" s="35"/>
      <c r="E603" s="44"/>
      <c r="F603" s="44"/>
      <c r="G603" s="506"/>
      <c r="H603" s="225"/>
      <c r="I603" s="202" t="s">
        <v>217</v>
      </c>
      <c r="J603" s="79">
        <v>500000</v>
      </c>
      <c r="K603" s="220" t="s">
        <v>20</v>
      </c>
      <c r="L603" s="219">
        <v>2</v>
      </c>
      <c r="M603" s="220" t="s">
        <v>157</v>
      </c>
      <c r="N603" s="220"/>
      <c r="O603" s="220"/>
      <c r="P603" s="220"/>
      <c r="Q603" s="20"/>
      <c r="R603" s="68">
        <f>J603*L603</f>
        <v>1000000</v>
      </c>
      <c r="S603" s="168"/>
      <c r="T603" s="7"/>
    </row>
    <row r="604" spans="1:20" s="169" customFormat="1" ht="15" customHeight="1">
      <c r="A604" s="23"/>
      <c r="B604" s="22"/>
      <c r="C604" s="34"/>
      <c r="D604" s="35"/>
      <c r="E604" s="44"/>
      <c r="F604" s="44"/>
      <c r="G604" s="506"/>
      <c r="H604" s="225"/>
      <c r="I604" s="202" t="s">
        <v>159</v>
      </c>
      <c r="J604" s="529">
        <v>50000</v>
      </c>
      <c r="K604" s="523" t="s">
        <v>20</v>
      </c>
      <c r="L604" s="219">
        <v>12</v>
      </c>
      <c r="M604" s="523" t="s">
        <v>21</v>
      </c>
      <c r="N604" s="523" t="s">
        <v>20</v>
      </c>
      <c r="O604" s="219">
        <v>2</v>
      </c>
      <c r="P604" s="523" t="s">
        <v>157</v>
      </c>
      <c r="Q604" s="20" t="s">
        <v>22</v>
      </c>
      <c r="R604" s="68">
        <f>J604*L604*O604</f>
        <v>1200000</v>
      </c>
      <c r="S604" s="168"/>
      <c r="T604" s="7"/>
    </row>
    <row r="605" spans="1:20" s="169" customFormat="1" ht="15" customHeight="1">
      <c r="A605" s="23"/>
      <c r="B605" s="22"/>
      <c r="C605" s="34"/>
      <c r="D605" s="35"/>
      <c r="E605" s="44"/>
      <c r="F605" s="44"/>
      <c r="G605" s="506"/>
      <c r="H605" s="225"/>
      <c r="I605" s="202" t="s">
        <v>219</v>
      </c>
      <c r="J605" s="946" t="s">
        <v>940</v>
      </c>
      <c r="K605" s="946"/>
      <c r="L605" s="946"/>
      <c r="M605" s="946"/>
      <c r="N605" s="946"/>
      <c r="O605" s="946"/>
      <c r="P605" s="946"/>
      <c r="Q605" s="20" t="s">
        <v>22</v>
      </c>
      <c r="R605" s="68">
        <v>480000</v>
      </c>
      <c r="S605" s="168"/>
      <c r="T605" s="7"/>
    </row>
    <row r="606" spans="1:20" s="169" customFormat="1" ht="15" customHeight="1">
      <c r="A606" s="23"/>
      <c r="B606" s="22"/>
      <c r="C606" s="34"/>
      <c r="D606" s="35"/>
      <c r="E606" s="44"/>
      <c r="F606" s="44"/>
      <c r="G606" s="506"/>
      <c r="H606" s="225"/>
      <c r="I606" s="202" t="s">
        <v>220</v>
      </c>
      <c r="J606" s="652">
        <v>50000</v>
      </c>
      <c r="K606" s="650" t="s">
        <v>20</v>
      </c>
      <c r="L606" s="219">
        <v>2</v>
      </c>
      <c r="M606" s="650" t="s">
        <v>25</v>
      </c>
      <c r="N606" s="650" t="s">
        <v>20</v>
      </c>
      <c r="O606" s="219">
        <v>2</v>
      </c>
      <c r="P606" s="650" t="s">
        <v>157</v>
      </c>
      <c r="Q606" s="20" t="s">
        <v>22</v>
      </c>
      <c r="R606" s="68">
        <f>J606*L606*O606</f>
        <v>200000</v>
      </c>
      <c r="S606" s="168"/>
      <c r="T606" s="7"/>
    </row>
    <row r="607" spans="1:20" s="169" customFormat="1" ht="15" customHeight="1">
      <c r="A607" s="23"/>
      <c r="B607" s="22"/>
      <c r="C607" s="34"/>
      <c r="D607" s="35"/>
      <c r="E607" s="44"/>
      <c r="F607" s="44"/>
      <c r="G607" s="649"/>
      <c r="H607" s="225"/>
      <c r="I607" s="202" t="s">
        <v>941</v>
      </c>
      <c r="J607" s="652">
        <v>20000</v>
      </c>
      <c r="K607" s="650" t="s">
        <v>20</v>
      </c>
      <c r="L607" s="219">
        <v>12</v>
      </c>
      <c r="M607" s="650" t="s">
        <v>21</v>
      </c>
      <c r="N607" s="650" t="s">
        <v>20</v>
      </c>
      <c r="O607" s="219">
        <v>2</v>
      </c>
      <c r="P607" s="650" t="s">
        <v>157</v>
      </c>
      <c r="Q607" s="20" t="s">
        <v>22</v>
      </c>
      <c r="R607" s="68">
        <f>J607*L607*O607</f>
        <v>480000</v>
      </c>
      <c r="S607" s="168"/>
      <c r="T607" s="7"/>
    </row>
    <row r="608" spans="1:20" s="169" customFormat="1" ht="15" customHeight="1">
      <c r="A608" s="23"/>
      <c r="B608" s="22"/>
      <c r="C608" s="34"/>
      <c r="D608" s="35"/>
      <c r="E608" s="44"/>
      <c r="F608" s="44"/>
      <c r="G608" s="506"/>
      <c r="H608" s="225"/>
      <c r="I608" s="202" t="s">
        <v>942</v>
      </c>
      <c r="J608" s="180"/>
      <c r="K608" s="532"/>
      <c r="L608" s="532"/>
      <c r="M608" s="532"/>
      <c r="N608" s="532"/>
      <c r="O608" s="532"/>
      <c r="P608" s="532"/>
      <c r="Q608" s="489"/>
      <c r="R608" s="98">
        <f>SUM(R609:R610)</f>
        <v>350000</v>
      </c>
      <c r="S608" s="168"/>
      <c r="T608" s="7"/>
    </row>
    <row r="609" spans="1:20" s="169" customFormat="1" ht="15" customHeight="1">
      <c r="A609" s="23"/>
      <c r="B609" s="22"/>
      <c r="C609" s="34"/>
      <c r="D609" s="35"/>
      <c r="E609" s="44"/>
      <c r="F609" s="44"/>
      <c r="G609" s="506"/>
      <c r="H609" s="225"/>
      <c r="I609" s="202" t="s">
        <v>221</v>
      </c>
      <c r="J609" s="180">
        <v>20000</v>
      </c>
      <c r="K609" s="532" t="s">
        <v>20</v>
      </c>
      <c r="L609" s="60">
        <v>10</v>
      </c>
      <c r="M609" s="532" t="s">
        <v>21</v>
      </c>
      <c r="N609" s="532" t="s">
        <v>20</v>
      </c>
      <c r="O609" s="60">
        <v>1</v>
      </c>
      <c r="P609" s="532" t="s">
        <v>25</v>
      </c>
      <c r="Q609" s="489" t="s">
        <v>22</v>
      </c>
      <c r="R609" s="98">
        <f>J609*L609*O609</f>
        <v>200000</v>
      </c>
      <c r="S609" s="168"/>
      <c r="T609" s="7"/>
    </row>
    <row r="610" spans="1:20" s="169" customFormat="1" ht="15" customHeight="1">
      <c r="A610" s="23"/>
      <c r="B610" s="22"/>
      <c r="C610" s="34"/>
      <c r="D610" s="35"/>
      <c r="E610" s="44"/>
      <c r="F610" s="44"/>
      <c r="G610" s="506"/>
      <c r="H610" s="225"/>
      <c r="I610" s="202" t="s">
        <v>503</v>
      </c>
      <c r="J610" s="180">
        <v>150000</v>
      </c>
      <c r="K610" s="532" t="s">
        <v>20</v>
      </c>
      <c r="L610" s="60">
        <v>1</v>
      </c>
      <c r="M610" s="532" t="s">
        <v>21</v>
      </c>
      <c r="N610" s="532" t="s">
        <v>20</v>
      </c>
      <c r="O610" s="60">
        <v>1</v>
      </c>
      <c r="P610" s="532" t="s">
        <v>25</v>
      </c>
      <c r="Q610" s="489" t="s">
        <v>22</v>
      </c>
      <c r="R610" s="98">
        <f>J610*L610*O610</f>
        <v>150000</v>
      </c>
      <c r="S610" s="168"/>
      <c r="T610" s="7"/>
    </row>
    <row r="611" spans="1:20" s="169" customFormat="1" ht="15" customHeight="1">
      <c r="A611" s="23"/>
      <c r="B611" s="22"/>
      <c r="C611" s="34"/>
      <c r="D611" s="35"/>
      <c r="E611" s="44"/>
      <c r="F611" s="44"/>
      <c r="G611" s="506"/>
      <c r="H611" s="225"/>
      <c r="I611" s="202" t="s">
        <v>943</v>
      </c>
      <c r="J611" s="180"/>
      <c r="K611" s="532"/>
      <c r="L611" s="532"/>
      <c r="M611" s="532"/>
      <c r="N611" s="532"/>
      <c r="O611" s="532"/>
      <c r="P611" s="532"/>
      <c r="Q611" s="489"/>
      <c r="R611" s="68">
        <f>SUM(R612,R613)</f>
        <v>1140000</v>
      </c>
      <c r="S611" s="168"/>
      <c r="T611" s="7"/>
    </row>
    <row r="612" spans="1:20" s="169" customFormat="1" ht="15" customHeight="1">
      <c r="A612" s="23"/>
      <c r="B612" s="22"/>
      <c r="C612" s="34"/>
      <c r="D612" s="35"/>
      <c r="E612" s="44"/>
      <c r="F612" s="44"/>
      <c r="G612" s="506"/>
      <c r="H612" s="225"/>
      <c r="I612" s="202" t="s">
        <v>506</v>
      </c>
      <c r="J612" s="180">
        <v>15000</v>
      </c>
      <c r="K612" s="659" t="s">
        <v>20</v>
      </c>
      <c r="L612" s="60">
        <v>18</v>
      </c>
      <c r="M612" s="659" t="s">
        <v>21</v>
      </c>
      <c r="N612" s="659" t="s">
        <v>20</v>
      </c>
      <c r="O612" s="60">
        <v>2</v>
      </c>
      <c r="P612" s="659" t="s">
        <v>157</v>
      </c>
      <c r="Q612" s="641" t="s">
        <v>22</v>
      </c>
      <c r="R612" s="68">
        <f>J612*L612*O612</f>
        <v>540000</v>
      </c>
      <c r="S612" s="168"/>
      <c r="T612" s="7"/>
    </row>
    <row r="613" spans="1:20" s="169" customFormat="1" ht="15" customHeight="1">
      <c r="A613" s="23"/>
      <c r="B613" s="22"/>
      <c r="C613" s="34"/>
      <c r="D613" s="35"/>
      <c r="E613" s="44"/>
      <c r="F613" s="44"/>
      <c r="G613" s="506"/>
      <c r="H613" s="225"/>
      <c r="I613" s="202" t="s">
        <v>944</v>
      </c>
      <c r="J613" s="180">
        <v>300000</v>
      </c>
      <c r="K613" s="650" t="s">
        <v>20</v>
      </c>
      <c r="L613" s="219">
        <v>2</v>
      </c>
      <c r="M613" s="650" t="s">
        <v>157</v>
      </c>
      <c r="N613" s="650"/>
      <c r="O613" s="219"/>
      <c r="P613" s="650"/>
      <c r="Q613" s="20" t="s">
        <v>22</v>
      </c>
      <c r="R613" s="68">
        <f>J613*L613</f>
        <v>600000</v>
      </c>
      <c r="S613" s="168"/>
      <c r="T613" s="7"/>
    </row>
    <row r="614" spans="1:20" s="169" customFormat="1" ht="15" customHeight="1">
      <c r="A614" s="23"/>
      <c r="B614" s="22"/>
      <c r="C614" s="34"/>
      <c r="D614" s="35"/>
      <c r="E614" s="44"/>
      <c r="F614" s="44"/>
      <c r="G614" s="506"/>
      <c r="H614" s="225"/>
      <c r="I614" s="202"/>
      <c r="J614" s="180"/>
      <c r="K614" s="532"/>
      <c r="L614" s="60"/>
      <c r="M614" s="532"/>
      <c r="N614" s="532"/>
      <c r="O614" s="60"/>
      <c r="P614" s="532"/>
      <c r="Q614" s="489"/>
      <c r="R614" s="68"/>
      <c r="S614" s="168"/>
      <c r="T614" s="7"/>
    </row>
    <row r="615" spans="1:20" s="169" customFormat="1" ht="15" customHeight="1">
      <c r="A615" s="23"/>
      <c r="B615" s="22"/>
      <c r="C615" s="34"/>
      <c r="D615" s="35"/>
      <c r="E615" s="44"/>
      <c r="F615" s="44"/>
      <c r="G615" s="506"/>
      <c r="H615" s="225"/>
      <c r="I615" s="731" t="s">
        <v>949</v>
      </c>
      <c r="J615" s="180"/>
      <c r="K615" s="532"/>
      <c r="L615" s="60"/>
      <c r="M615" s="532"/>
      <c r="N615" s="532"/>
      <c r="O615" s="60"/>
      <c r="P615" s="532"/>
      <c r="Q615" s="489"/>
      <c r="R615" s="68">
        <f>R616+R628+R629+R633+R634+R636+R641+R642+R645+R646</f>
        <v>43913310</v>
      </c>
      <c r="S615" s="168"/>
      <c r="T615" s="7"/>
    </row>
    <row r="616" spans="1:20" s="169" customFormat="1" ht="15" customHeight="1">
      <c r="A616" s="23"/>
      <c r="B616" s="22"/>
      <c r="C616" s="34"/>
      <c r="D616" s="35"/>
      <c r="E616" s="44"/>
      <c r="F616" s="44"/>
      <c r="G616" s="506"/>
      <c r="H616" s="225"/>
      <c r="I616" s="218" t="s">
        <v>210</v>
      </c>
      <c r="J616" s="21"/>
      <c r="K616" s="21"/>
      <c r="L616" s="21"/>
      <c r="M616" s="21"/>
      <c r="N616" s="21"/>
      <c r="O616" s="21"/>
      <c r="P616" s="21"/>
      <c r="Q616" s="20"/>
      <c r="R616" s="98">
        <f>SUM(R617:R627)</f>
        <v>23310000</v>
      </c>
      <c r="S616" s="168"/>
      <c r="T616" s="7"/>
    </row>
    <row r="617" spans="1:20" s="169" customFormat="1" ht="15" customHeight="1">
      <c r="A617" s="23"/>
      <c r="B617" s="22"/>
      <c r="C617" s="34"/>
      <c r="D617" s="35"/>
      <c r="E617" s="44"/>
      <c r="F617" s="44"/>
      <c r="G617" s="506"/>
      <c r="H617" s="225"/>
      <c r="I617" s="218" t="s">
        <v>950</v>
      </c>
      <c r="J617" s="529"/>
      <c r="K617" s="523"/>
      <c r="L617" s="219"/>
      <c r="M617" s="523"/>
      <c r="N617" s="523"/>
      <c r="O617" s="219"/>
      <c r="P617" s="523"/>
      <c r="Q617" s="20"/>
      <c r="R617" s="68"/>
      <c r="S617" s="168"/>
      <c r="T617" s="7"/>
    </row>
    <row r="618" spans="1:20" s="169" customFormat="1" ht="15" customHeight="1">
      <c r="A618" s="23"/>
      <c r="B618" s="22"/>
      <c r="C618" s="34"/>
      <c r="D618" s="35"/>
      <c r="E618" s="44"/>
      <c r="F618" s="44"/>
      <c r="G618" s="506"/>
      <c r="H618" s="225"/>
      <c r="I618" s="218"/>
      <c r="J618" s="529">
        <v>35000</v>
      </c>
      <c r="K618" s="523" t="s">
        <v>24</v>
      </c>
      <c r="L618" s="219">
        <v>4</v>
      </c>
      <c r="M618" s="523" t="s">
        <v>151</v>
      </c>
      <c r="N618" s="523" t="s">
        <v>24</v>
      </c>
      <c r="O618" s="219">
        <v>35</v>
      </c>
      <c r="P618" s="523" t="s">
        <v>152</v>
      </c>
      <c r="Q618" s="20" t="s">
        <v>22</v>
      </c>
      <c r="R618" s="68">
        <f>J618*L618*O618</f>
        <v>4900000</v>
      </c>
      <c r="S618" s="168"/>
      <c r="T618" s="7"/>
    </row>
    <row r="619" spans="1:20" s="169" customFormat="1" ht="15" customHeight="1">
      <c r="A619" s="23"/>
      <c r="B619" s="22"/>
      <c r="C619" s="34"/>
      <c r="D619" s="35"/>
      <c r="E619" s="44"/>
      <c r="F619" s="44"/>
      <c r="G619" s="506"/>
      <c r="H619" s="225"/>
      <c r="I619" s="218" t="s">
        <v>951</v>
      </c>
      <c r="J619" s="529"/>
      <c r="K619" s="523"/>
      <c r="L619" s="219"/>
      <c r="M619" s="523"/>
      <c r="N619" s="523"/>
      <c r="O619" s="219"/>
      <c r="P619" s="523"/>
      <c r="Q619" s="20"/>
      <c r="R619" s="68"/>
      <c r="S619" s="168"/>
      <c r="T619" s="7"/>
    </row>
    <row r="620" spans="1:20" s="169" customFormat="1" ht="15" customHeight="1">
      <c r="A620" s="23"/>
      <c r="B620" s="22"/>
      <c r="C620" s="34"/>
      <c r="D620" s="35"/>
      <c r="E620" s="44"/>
      <c r="F620" s="44"/>
      <c r="G620" s="506"/>
      <c r="H620" s="225"/>
      <c r="I620" s="218"/>
      <c r="J620" s="652">
        <v>35000</v>
      </c>
      <c r="K620" s="650" t="s">
        <v>20</v>
      </c>
      <c r="L620" s="219">
        <v>4</v>
      </c>
      <c r="M620" s="650" t="s">
        <v>151</v>
      </c>
      <c r="N620" s="650" t="s">
        <v>20</v>
      </c>
      <c r="O620" s="219">
        <v>36</v>
      </c>
      <c r="P620" s="650" t="s">
        <v>152</v>
      </c>
      <c r="Q620" s="20" t="s">
        <v>22</v>
      </c>
      <c r="R620" s="68">
        <f>J620*L620*O620</f>
        <v>5040000</v>
      </c>
      <c r="S620" s="168"/>
      <c r="T620" s="7"/>
    </row>
    <row r="621" spans="1:20" s="169" customFormat="1" ht="15" customHeight="1">
      <c r="A621" s="23"/>
      <c r="B621" s="22"/>
      <c r="C621" s="34"/>
      <c r="D621" s="35"/>
      <c r="E621" s="44"/>
      <c r="F621" s="44"/>
      <c r="G621" s="649"/>
      <c r="H621" s="225"/>
      <c r="I621" s="218" t="s">
        <v>952</v>
      </c>
      <c r="J621" s="652"/>
      <c r="K621" s="650"/>
      <c r="L621" s="219"/>
      <c r="M621" s="650"/>
      <c r="N621" s="650"/>
      <c r="O621" s="219"/>
      <c r="P621" s="650"/>
      <c r="Q621" s="20"/>
      <c r="R621" s="68"/>
      <c r="S621" s="168"/>
      <c r="T621" s="7"/>
    </row>
    <row r="622" spans="1:20" s="169" customFormat="1" ht="15" customHeight="1">
      <c r="A622" s="23"/>
      <c r="B622" s="22"/>
      <c r="C622" s="34"/>
      <c r="D622" s="35"/>
      <c r="E622" s="44"/>
      <c r="F622" s="44"/>
      <c r="G622" s="649"/>
      <c r="H622" s="225"/>
      <c r="I622" s="218"/>
      <c r="J622" s="652">
        <v>35000</v>
      </c>
      <c r="K622" s="650" t="s">
        <v>20</v>
      </c>
      <c r="L622" s="219">
        <v>4</v>
      </c>
      <c r="M622" s="650" t="s">
        <v>151</v>
      </c>
      <c r="N622" s="650" t="s">
        <v>20</v>
      </c>
      <c r="O622" s="219">
        <v>36</v>
      </c>
      <c r="P622" s="650" t="s">
        <v>152</v>
      </c>
      <c r="Q622" s="20" t="s">
        <v>22</v>
      </c>
      <c r="R622" s="68">
        <f>J622*L622*O622</f>
        <v>5040000</v>
      </c>
      <c r="S622" s="168"/>
      <c r="T622" s="7"/>
    </row>
    <row r="623" spans="1:20" s="169" customFormat="1" ht="15" customHeight="1">
      <c r="A623" s="23"/>
      <c r="B623" s="22"/>
      <c r="C623" s="34"/>
      <c r="D623" s="35"/>
      <c r="E623" s="44"/>
      <c r="F623" s="44"/>
      <c r="G623" s="649"/>
      <c r="H623" s="225"/>
      <c r="I623" s="218" t="s">
        <v>953</v>
      </c>
      <c r="J623" s="652"/>
      <c r="K623" s="650"/>
      <c r="L623" s="219"/>
      <c r="M623" s="650"/>
      <c r="N623" s="650"/>
      <c r="O623" s="219"/>
      <c r="P623" s="650"/>
      <c r="Q623" s="20"/>
      <c r="R623" s="68"/>
      <c r="S623" s="168"/>
      <c r="T623" s="7"/>
    </row>
    <row r="624" spans="1:20" s="169" customFormat="1" ht="15" customHeight="1">
      <c r="A624" s="23"/>
      <c r="B624" s="22"/>
      <c r="C624" s="34"/>
      <c r="D624" s="35"/>
      <c r="E624" s="44"/>
      <c r="F624" s="44"/>
      <c r="G624" s="649"/>
      <c r="H624" s="225"/>
      <c r="I624" s="218"/>
      <c r="J624" s="652">
        <v>35000</v>
      </c>
      <c r="K624" s="650" t="s">
        <v>20</v>
      </c>
      <c r="L624" s="219">
        <v>4</v>
      </c>
      <c r="M624" s="650" t="s">
        <v>151</v>
      </c>
      <c r="N624" s="650" t="s">
        <v>20</v>
      </c>
      <c r="O624" s="219">
        <v>38</v>
      </c>
      <c r="P624" s="650" t="s">
        <v>152</v>
      </c>
      <c r="Q624" s="20" t="s">
        <v>22</v>
      </c>
      <c r="R624" s="68">
        <f>J624*L624*O624</f>
        <v>5320000</v>
      </c>
      <c r="S624" s="168"/>
      <c r="T624" s="7"/>
    </row>
    <row r="625" spans="1:20" s="169" customFormat="1" ht="15" customHeight="1">
      <c r="A625" s="23"/>
      <c r="B625" s="22"/>
      <c r="C625" s="34"/>
      <c r="D625" s="35"/>
      <c r="E625" s="44"/>
      <c r="F625" s="44"/>
      <c r="G625" s="649"/>
      <c r="H625" s="225"/>
      <c r="I625" s="218" t="s">
        <v>954</v>
      </c>
      <c r="J625" s="652"/>
      <c r="K625" s="650"/>
      <c r="L625" s="219"/>
      <c r="M625" s="650"/>
      <c r="N625" s="650"/>
      <c r="O625" s="219"/>
      <c r="P625" s="650"/>
      <c r="Q625" s="20"/>
      <c r="R625" s="68"/>
      <c r="S625" s="168"/>
      <c r="T625" s="7"/>
    </row>
    <row r="626" spans="1:20" s="169" customFormat="1" ht="15" customHeight="1">
      <c r="A626" s="23"/>
      <c r="B626" s="22"/>
      <c r="C626" s="34"/>
      <c r="D626" s="35"/>
      <c r="E626" s="44"/>
      <c r="F626" s="44"/>
      <c r="G626" s="649"/>
      <c r="H626" s="225"/>
      <c r="I626" s="218"/>
      <c r="J626" s="652">
        <v>35000</v>
      </c>
      <c r="K626" s="650" t="s">
        <v>20</v>
      </c>
      <c r="L626" s="219">
        <v>4</v>
      </c>
      <c r="M626" s="650" t="s">
        <v>151</v>
      </c>
      <c r="N626" s="650" t="s">
        <v>20</v>
      </c>
      <c r="O626" s="219">
        <v>9</v>
      </c>
      <c r="P626" s="650" t="s">
        <v>152</v>
      </c>
      <c r="Q626" s="20" t="s">
        <v>22</v>
      </c>
      <c r="R626" s="68">
        <f>J626*L626*O626</f>
        <v>1260000</v>
      </c>
      <c r="S626" s="168"/>
      <c r="T626" s="7"/>
    </row>
    <row r="627" spans="1:20" s="169" customFormat="1" ht="15" customHeight="1">
      <c r="A627" s="23"/>
      <c r="B627" s="22"/>
      <c r="C627" s="34"/>
      <c r="D627" s="35"/>
      <c r="E627" s="44"/>
      <c r="F627" s="44"/>
      <c r="G627" s="649"/>
      <c r="H627" s="225"/>
      <c r="I627" s="218"/>
      <c r="J627" s="652">
        <v>35000</v>
      </c>
      <c r="K627" s="650" t="s">
        <v>20</v>
      </c>
      <c r="L627" s="219">
        <v>2</v>
      </c>
      <c r="M627" s="650" t="s">
        <v>151</v>
      </c>
      <c r="N627" s="650" t="s">
        <v>20</v>
      </c>
      <c r="O627" s="219">
        <v>25</v>
      </c>
      <c r="P627" s="650" t="s">
        <v>152</v>
      </c>
      <c r="Q627" s="20" t="s">
        <v>22</v>
      </c>
      <c r="R627" s="68">
        <f>J627*L627*O627</f>
        <v>1750000</v>
      </c>
      <c r="S627" s="168"/>
      <c r="T627" s="7"/>
    </row>
    <row r="628" spans="1:20" s="169" customFormat="1" ht="15" customHeight="1">
      <c r="A628" s="23"/>
      <c r="B628" s="22"/>
      <c r="C628" s="34"/>
      <c r="D628" s="35"/>
      <c r="E628" s="44"/>
      <c r="F628" s="44"/>
      <c r="G628" s="649"/>
      <c r="H628" s="225"/>
      <c r="I628" s="218" t="s">
        <v>955</v>
      </c>
      <c r="J628" s="652">
        <v>100000</v>
      </c>
      <c r="K628" s="650" t="s">
        <v>20</v>
      </c>
      <c r="L628" s="219">
        <v>2</v>
      </c>
      <c r="M628" s="650" t="s">
        <v>151</v>
      </c>
      <c r="N628" s="650" t="s">
        <v>20</v>
      </c>
      <c r="O628" s="219">
        <v>6</v>
      </c>
      <c r="P628" s="650" t="s">
        <v>25</v>
      </c>
      <c r="Q628" s="20" t="s">
        <v>22</v>
      </c>
      <c r="R628" s="68">
        <f>J628*L628*O628</f>
        <v>1200000</v>
      </c>
      <c r="S628" s="168"/>
      <c r="T628" s="7"/>
    </row>
    <row r="629" spans="1:20" s="169" customFormat="1" ht="15" customHeight="1">
      <c r="A629" s="23"/>
      <c r="B629" s="22"/>
      <c r="C629" s="34"/>
      <c r="D629" s="35"/>
      <c r="E629" s="44"/>
      <c r="F629" s="44"/>
      <c r="G629" s="506"/>
      <c r="H629" s="225"/>
      <c r="I629" s="218" t="s">
        <v>222</v>
      </c>
      <c r="J629" s="180"/>
      <c r="K629" s="219"/>
      <c r="L629" s="60"/>
      <c r="M629" s="219"/>
      <c r="N629" s="60"/>
      <c r="O629" s="219"/>
      <c r="P629" s="60"/>
      <c r="Q629" s="60"/>
      <c r="R629" s="98">
        <f>SUM(R630:R632)</f>
        <v>3150000</v>
      </c>
      <c r="S629" s="168"/>
      <c r="T629" s="7"/>
    </row>
    <row r="630" spans="1:20" s="169" customFormat="1" ht="15" customHeight="1">
      <c r="A630" s="23"/>
      <c r="B630" s="22"/>
      <c r="C630" s="34"/>
      <c r="D630" s="35"/>
      <c r="E630" s="44"/>
      <c r="F630" s="44"/>
      <c r="G630" s="506"/>
      <c r="H630" s="225"/>
      <c r="I630" s="202" t="s">
        <v>956</v>
      </c>
      <c r="J630" s="180">
        <v>50000</v>
      </c>
      <c r="K630" s="219" t="s">
        <v>24</v>
      </c>
      <c r="L630" s="60">
        <v>1</v>
      </c>
      <c r="M630" s="219" t="s">
        <v>180</v>
      </c>
      <c r="N630" s="60" t="s">
        <v>24</v>
      </c>
      <c r="O630" s="219">
        <v>1</v>
      </c>
      <c r="P630" s="60" t="s">
        <v>157</v>
      </c>
      <c r="Q630" s="60" t="s">
        <v>22</v>
      </c>
      <c r="R630" s="98">
        <f>J630*L630*O630</f>
        <v>50000</v>
      </c>
      <c r="S630" s="168"/>
      <c r="T630" s="7"/>
    </row>
    <row r="631" spans="1:20" s="169" customFormat="1" ht="15" customHeight="1">
      <c r="A631" s="23"/>
      <c r="B631" s="22"/>
      <c r="C631" s="34"/>
      <c r="D631" s="35"/>
      <c r="E631" s="44"/>
      <c r="F631" s="44"/>
      <c r="G631" s="506"/>
      <c r="H631" s="225"/>
      <c r="I631" s="202" t="s">
        <v>957</v>
      </c>
      <c r="J631" s="180">
        <v>50000</v>
      </c>
      <c r="K631" s="219" t="s">
        <v>24</v>
      </c>
      <c r="L631" s="60">
        <v>10</v>
      </c>
      <c r="M631" s="219" t="s">
        <v>21</v>
      </c>
      <c r="N631" s="60" t="s">
        <v>24</v>
      </c>
      <c r="O631" s="219">
        <v>3</v>
      </c>
      <c r="P631" s="60" t="s">
        <v>157</v>
      </c>
      <c r="Q631" s="60" t="s">
        <v>22</v>
      </c>
      <c r="R631" s="98">
        <f>J631*L631*O631</f>
        <v>1500000</v>
      </c>
      <c r="S631" s="168"/>
      <c r="T631" s="7"/>
    </row>
    <row r="632" spans="1:20" s="169" customFormat="1" ht="15" customHeight="1">
      <c r="A632" s="23"/>
      <c r="B632" s="22"/>
      <c r="C632" s="34"/>
      <c r="D632" s="35"/>
      <c r="E632" s="44"/>
      <c r="F632" s="44"/>
      <c r="G632" s="506"/>
      <c r="H632" s="225"/>
      <c r="I632" s="202" t="s">
        <v>958</v>
      </c>
      <c r="J632" s="180">
        <v>1600000</v>
      </c>
      <c r="K632" s="219" t="s">
        <v>24</v>
      </c>
      <c r="L632" s="60">
        <v>1</v>
      </c>
      <c r="M632" s="219" t="s">
        <v>180</v>
      </c>
      <c r="N632" s="60"/>
      <c r="O632" s="219"/>
      <c r="P632" s="60"/>
      <c r="Q632" s="60" t="s">
        <v>22</v>
      </c>
      <c r="R632" s="98">
        <f>J632*L632</f>
        <v>1600000</v>
      </c>
      <c r="S632" s="168"/>
      <c r="T632" s="7"/>
    </row>
    <row r="633" spans="1:20" s="169" customFormat="1" ht="15" customHeight="1">
      <c r="A633" s="23"/>
      <c r="B633" s="22"/>
      <c r="C633" s="34"/>
      <c r="D633" s="35"/>
      <c r="E633" s="44"/>
      <c r="F633" s="44"/>
      <c r="G633" s="506"/>
      <c r="H633" s="225"/>
      <c r="I633" s="202" t="s">
        <v>959</v>
      </c>
      <c r="J633" s="180">
        <v>300000</v>
      </c>
      <c r="K633" s="219" t="s">
        <v>20</v>
      </c>
      <c r="L633" s="60">
        <v>3</v>
      </c>
      <c r="M633" s="219" t="s">
        <v>157</v>
      </c>
      <c r="N633" s="60"/>
      <c r="O633" s="219"/>
      <c r="P633" s="60"/>
      <c r="Q633" s="60" t="s">
        <v>22</v>
      </c>
      <c r="R633" s="98">
        <f>J633*L633</f>
        <v>900000</v>
      </c>
      <c r="S633" s="168"/>
      <c r="T633" s="7"/>
    </row>
    <row r="634" spans="1:20" s="169" customFormat="1" ht="15" customHeight="1">
      <c r="A634" s="23"/>
      <c r="B634" s="22"/>
      <c r="C634" s="34"/>
      <c r="D634" s="35"/>
      <c r="E634" s="44"/>
      <c r="F634" s="44"/>
      <c r="G634" s="506"/>
      <c r="H634" s="225"/>
      <c r="I634" s="202" t="s">
        <v>219</v>
      </c>
      <c r="J634" s="158"/>
      <c r="K634" s="158"/>
      <c r="L634" s="158"/>
      <c r="M634" s="158"/>
      <c r="N634" s="158"/>
      <c r="O634" s="158"/>
      <c r="P634" s="158"/>
      <c r="Q634" s="158"/>
      <c r="R634" s="392">
        <f>SUM(R635:R635)</f>
        <v>600000</v>
      </c>
      <c r="S634" s="168"/>
      <c r="T634" s="7"/>
    </row>
    <row r="635" spans="1:20" s="169" customFormat="1" ht="15" customHeight="1">
      <c r="A635" s="23"/>
      <c r="B635" s="22"/>
      <c r="C635" s="34"/>
      <c r="D635" s="35"/>
      <c r="E635" s="44"/>
      <c r="F635" s="44"/>
      <c r="G635" s="506"/>
      <c r="H635" s="225"/>
      <c r="I635" s="202"/>
      <c r="J635" s="180">
        <v>20000</v>
      </c>
      <c r="K635" s="219" t="s">
        <v>24</v>
      </c>
      <c r="L635" s="60">
        <v>10</v>
      </c>
      <c r="M635" s="219" t="s">
        <v>21</v>
      </c>
      <c r="N635" s="60" t="s">
        <v>24</v>
      </c>
      <c r="O635" s="219">
        <v>3</v>
      </c>
      <c r="P635" s="60" t="s">
        <v>157</v>
      </c>
      <c r="Q635" s="60" t="s">
        <v>22</v>
      </c>
      <c r="R635" s="98">
        <f>J635*L635*O635</f>
        <v>600000</v>
      </c>
      <c r="S635" s="168"/>
      <c r="T635" s="7"/>
    </row>
    <row r="636" spans="1:20" s="169" customFormat="1" ht="15" customHeight="1">
      <c r="A636" s="23"/>
      <c r="B636" s="22"/>
      <c r="C636" s="34"/>
      <c r="D636" s="35"/>
      <c r="E636" s="44"/>
      <c r="F636" s="44"/>
      <c r="G636" s="506"/>
      <c r="H636" s="225"/>
      <c r="I636" s="202" t="s">
        <v>223</v>
      </c>
      <c r="J636" s="180"/>
      <c r="K636" s="219"/>
      <c r="L636" s="60"/>
      <c r="M636" s="219"/>
      <c r="N636" s="60"/>
      <c r="O636" s="219"/>
      <c r="P636" s="60"/>
      <c r="Q636" s="60"/>
      <c r="R636" s="98">
        <f>SUM(R637:R640)</f>
        <v>2282000</v>
      </c>
      <c r="S636" s="168"/>
      <c r="T636" s="7"/>
    </row>
    <row r="637" spans="1:20" s="169" customFormat="1" ht="15" customHeight="1">
      <c r="A637" s="23"/>
      <c r="B637" s="22"/>
      <c r="C637" s="34"/>
      <c r="D637" s="35"/>
      <c r="E637" s="44"/>
      <c r="F637" s="44"/>
      <c r="G637" s="506"/>
      <c r="H637" s="225"/>
      <c r="I637" s="202" t="s">
        <v>224</v>
      </c>
      <c r="J637" s="180">
        <v>30000</v>
      </c>
      <c r="K637" s="219" t="s">
        <v>24</v>
      </c>
      <c r="L637" s="60">
        <v>18</v>
      </c>
      <c r="M637" s="219" t="s">
        <v>21</v>
      </c>
      <c r="N637" s="60" t="s">
        <v>24</v>
      </c>
      <c r="O637" s="219">
        <v>3</v>
      </c>
      <c r="P637" s="60" t="s">
        <v>157</v>
      </c>
      <c r="Q637" s="60" t="s">
        <v>22</v>
      </c>
      <c r="R637" s="98">
        <f>J637*L637*O637</f>
        <v>1620000</v>
      </c>
      <c r="S637" s="168"/>
      <c r="T637" s="7"/>
    </row>
    <row r="638" spans="1:20" s="169" customFormat="1" ht="15" customHeight="1">
      <c r="A638" s="23"/>
      <c r="B638" s="22"/>
      <c r="C638" s="34"/>
      <c r="D638" s="35"/>
      <c r="E638" s="44"/>
      <c r="F638" s="44"/>
      <c r="G638" s="506"/>
      <c r="H638" s="225"/>
      <c r="I638" s="202" t="s">
        <v>164</v>
      </c>
      <c r="J638" s="180">
        <v>3000</v>
      </c>
      <c r="K638" s="219" t="s">
        <v>24</v>
      </c>
      <c r="L638" s="60">
        <v>18</v>
      </c>
      <c r="M638" s="219" t="s">
        <v>21</v>
      </c>
      <c r="N638" s="60" t="s">
        <v>24</v>
      </c>
      <c r="O638" s="219">
        <v>3</v>
      </c>
      <c r="P638" s="60" t="s">
        <v>157</v>
      </c>
      <c r="Q638" s="60" t="s">
        <v>22</v>
      </c>
      <c r="R638" s="98">
        <f>J638*L638*O638</f>
        <v>162000</v>
      </c>
      <c r="S638" s="168"/>
      <c r="T638" s="7"/>
    </row>
    <row r="639" spans="1:20" s="169" customFormat="1" ht="15" customHeight="1">
      <c r="A639" s="23"/>
      <c r="B639" s="22"/>
      <c r="C639" s="34"/>
      <c r="D639" s="35"/>
      <c r="E639" s="44"/>
      <c r="F639" s="44"/>
      <c r="G639" s="649"/>
      <c r="H639" s="225"/>
      <c r="I639" s="202" t="s">
        <v>960</v>
      </c>
      <c r="J639" s="180">
        <v>100000</v>
      </c>
      <c r="K639" s="219" t="s">
        <v>20</v>
      </c>
      <c r="L639" s="60">
        <v>1</v>
      </c>
      <c r="M639" s="219" t="s">
        <v>21</v>
      </c>
      <c r="N639" s="60" t="s">
        <v>20</v>
      </c>
      <c r="O639" s="219">
        <v>3</v>
      </c>
      <c r="P639" s="60" t="s">
        <v>157</v>
      </c>
      <c r="Q639" s="60" t="s">
        <v>22</v>
      </c>
      <c r="R639" s="98">
        <f>J639*L639*O639</f>
        <v>300000</v>
      </c>
      <c r="S639" s="168"/>
      <c r="T639" s="7"/>
    </row>
    <row r="640" spans="1:20" s="169" customFormat="1" ht="15" customHeight="1">
      <c r="A640" s="23"/>
      <c r="B640" s="22"/>
      <c r="C640" s="34"/>
      <c r="D640" s="35"/>
      <c r="E640" s="44"/>
      <c r="F640" s="44"/>
      <c r="G640" s="649"/>
      <c r="H640" s="225"/>
      <c r="I640" s="202" t="s">
        <v>961</v>
      </c>
      <c r="J640" s="180">
        <v>100000</v>
      </c>
      <c r="K640" s="219" t="s">
        <v>20</v>
      </c>
      <c r="L640" s="60">
        <v>1</v>
      </c>
      <c r="M640" s="219" t="s">
        <v>21</v>
      </c>
      <c r="N640" s="60" t="s">
        <v>20</v>
      </c>
      <c r="O640" s="219">
        <v>2</v>
      </c>
      <c r="P640" s="60" t="s">
        <v>157</v>
      </c>
      <c r="Q640" s="60" t="s">
        <v>22</v>
      </c>
      <c r="R640" s="98">
        <f>J640*L640*O640</f>
        <v>200000</v>
      </c>
      <c r="S640" s="168"/>
      <c r="T640" s="7"/>
    </row>
    <row r="641" spans="1:20" s="169" customFormat="1" ht="15" customHeight="1">
      <c r="A641" s="23"/>
      <c r="B641" s="22"/>
      <c r="C641" s="34"/>
      <c r="D641" s="35"/>
      <c r="E641" s="44"/>
      <c r="F641" s="44"/>
      <c r="G641" s="506"/>
      <c r="H641" s="225"/>
      <c r="I641" s="202" t="s">
        <v>963</v>
      </c>
      <c r="J641" s="180">
        <v>15000</v>
      </c>
      <c r="K641" s="219" t="s">
        <v>20</v>
      </c>
      <c r="L641" s="60">
        <v>6</v>
      </c>
      <c r="M641" s="219" t="s">
        <v>21</v>
      </c>
      <c r="N641" s="60" t="s">
        <v>20</v>
      </c>
      <c r="O641" s="219">
        <v>2</v>
      </c>
      <c r="P641" s="60" t="s">
        <v>25</v>
      </c>
      <c r="Q641" s="60" t="s">
        <v>22</v>
      </c>
      <c r="R641" s="98">
        <f>J641*L641*O641</f>
        <v>180000</v>
      </c>
      <c r="S641" s="168"/>
      <c r="T641" s="7"/>
    </row>
    <row r="642" spans="1:20" s="169" customFormat="1" ht="15" customHeight="1">
      <c r="A642" s="23"/>
      <c r="B642" s="22"/>
      <c r="C642" s="34"/>
      <c r="D642" s="35"/>
      <c r="E642" s="44"/>
      <c r="F642" s="44"/>
      <c r="G642" s="506"/>
      <c r="H642" s="225"/>
      <c r="I642" s="202" t="s">
        <v>943</v>
      </c>
      <c r="J642" s="180"/>
      <c r="K642" s="219"/>
      <c r="L642" s="60"/>
      <c r="M642" s="219"/>
      <c r="N642" s="60"/>
      <c r="O642" s="219"/>
      <c r="P642" s="60"/>
      <c r="Q642" s="60"/>
      <c r="R642" s="98">
        <f>SUM(R643:R644)</f>
        <v>1710000</v>
      </c>
      <c r="S642" s="168"/>
      <c r="T642" s="7"/>
    </row>
    <row r="643" spans="1:20" s="169" customFormat="1" ht="15" customHeight="1">
      <c r="A643" s="23"/>
      <c r="B643" s="22"/>
      <c r="C643" s="34"/>
      <c r="D643" s="35"/>
      <c r="E643" s="44"/>
      <c r="F643" s="44"/>
      <c r="G643" s="506"/>
      <c r="H643" s="225"/>
      <c r="I643" s="202" t="s">
        <v>962</v>
      </c>
      <c r="J643" s="180">
        <v>15000</v>
      </c>
      <c r="K643" s="219" t="s">
        <v>24</v>
      </c>
      <c r="L643" s="60">
        <v>18</v>
      </c>
      <c r="M643" s="219" t="s">
        <v>21</v>
      </c>
      <c r="N643" s="60" t="s">
        <v>24</v>
      </c>
      <c r="O643" s="224">
        <v>3</v>
      </c>
      <c r="P643" s="224" t="s">
        <v>157</v>
      </c>
      <c r="Q643" s="60" t="s">
        <v>22</v>
      </c>
      <c r="R643" s="98">
        <f>J643*L643*O643</f>
        <v>810000</v>
      </c>
      <c r="S643" s="168"/>
      <c r="T643" s="7"/>
    </row>
    <row r="644" spans="1:20" s="169" customFormat="1" ht="15" customHeight="1">
      <c r="A644" s="23"/>
      <c r="B644" s="22"/>
      <c r="C644" s="34"/>
      <c r="D644" s="35"/>
      <c r="E644" s="44"/>
      <c r="F644" s="44"/>
      <c r="G644" s="506"/>
      <c r="H644" s="225"/>
      <c r="I644" s="202" t="s">
        <v>944</v>
      </c>
      <c r="J644" s="180">
        <v>300000</v>
      </c>
      <c r="K644" s="219" t="s">
        <v>24</v>
      </c>
      <c r="L644" s="60">
        <v>1</v>
      </c>
      <c r="M644" s="219" t="s">
        <v>25</v>
      </c>
      <c r="N644" s="60" t="s">
        <v>24</v>
      </c>
      <c r="O644" s="224">
        <v>3</v>
      </c>
      <c r="P644" s="224" t="s">
        <v>157</v>
      </c>
      <c r="Q644" s="60" t="s">
        <v>22</v>
      </c>
      <c r="R644" s="98">
        <f>J644*L644*O644</f>
        <v>900000</v>
      </c>
      <c r="S644" s="168"/>
      <c r="T644" s="7"/>
    </row>
    <row r="645" spans="1:20" s="169" customFormat="1" ht="15" customHeight="1">
      <c r="A645" s="23"/>
      <c r="B645" s="22"/>
      <c r="C645" s="34"/>
      <c r="D645" s="35"/>
      <c r="E645" s="44"/>
      <c r="F645" s="44"/>
      <c r="G645" s="506"/>
      <c r="H645" s="225"/>
      <c r="I645" s="202" t="s">
        <v>225</v>
      </c>
      <c r="J645" s="180">
        <v>50000</v>
      </c>
      <c r="K645" s="219" t="s">
        <v>24</v>
      </c>
      <c r="L645" s="60">
        <v>10</v>
      </c>
      <c r="M645" s="219" t="s">
        <v>21</v>
      </c>
      <c r="N645" s="60" t="s">
        <v>24</v>
      </c>
      <c r="O645" s="219">
        <v>3</v>
      </c>
      <c r="P645" s="60" t="s">
        <v>157</v>
      </c>
      <c r="Q645" s="60" t="s">
        <v>22</v>
      </c>
      <c r="R645" s="98">
        <f>J645*L645*O645</f>
        <v>1500000</v>
      </c>
      <c r="S645" s="168"/>
      <c r="T645" s="7"/>
    </row>
    <row r="646" spans="1:20" s="169" customFormat="1" ht="15" customHeight="1">
      <c r="A646" s="23"/>
      <c r="B646" s="22"/>
      <c r="C646" s="34"/>
      <c r="D646" s="35"/>
      <c r="E646" s="44"/>
      <c r="F646" s="44"/>
      <c r="G646" s="506"/>
      <c r="H646" s="225"/>
      <c r="I646" s="419" t="s">
        <v>324</v>
      </c>
      <c r="J646" s="396"/>
      <c r="K646" s="397"/>
      <c r="L646" s="397"/>
      <c r="M646" s="397"/>
      <c r="N646" s="397"/>
      <c r="O646" s="397"/>
      <c r="P646" s="397"/>
      <c r="Q646" s="420"/>
      <c r="R646" s="421">
        <f>9052230+29080</f>
        <v>9081310</v>
      </c>
      <c r="S646" s="168"/>
      <c r="T646" s="7"/>
    </row>
    <row r="647" spans="1:20" s="169" customFormat="1" ht="15" customHeight="1">
      <c r="A647" s="23"/>
      <c r="B647" s="22"/>
      <c r="C647" s="34"/>
      <c r="D647" s="35"/>
      <c r="E647" s="44"/>
      <c r="F647" s="44"/>
      <c r="G647" s="506"/>
      <c r="H647" s="225"/>
      <c r="I647" s="202"/>
      <c r="J647" s="180"/>
      <c r="K647" s="532"/>
      <c r="L647" s="60"/>
      <c r="M647" s="532"/>
      <c r="N647" s="532"/>
      <c r="O647" s="60"/>
      <c r="P647" s="532"/>
      <c r="Q647" s="489"/>
      <c r="R647" s="68"/>
      <c r="S647" s="168"/>
      <c r="T647" s="7"/>
    </row>
    <row r="648" spans="1:20" s="169" customFormat="1" ht="15" customHeight="1">
      <c r="A648" s="23"/>
      <c r="B648" s="22"/>
      <c r="C648" s="487"/>
      <c r="D648" s="16"/>
      <c r="E648" s="50"/>
      <c r="F648" s="50"/>
      <c r="G648" s="533"/>
      <c r="H648" s="245"/>
      <c r="I648" s="16"/>
      <c r="J648" s="244"/>
      <c r="K648" s="246"/>
      <c r="L648" s="246"/>
      <c r="M648" s="246"/>
      <c r="N648" s="246"/>
      <c r="O648" s="246"/>
      <c r="P648" s="246"/>
      <c r="Q648" s="222" t="s">
        <v>23</v>
      </c>
      <c r="R648" s="213">
        <f>R573+R615</f>
        <v>163768010</v>
      </c>
      <c r="S648" s="168">
        <v>0</v>
      </c>
      <c r="T648" s="7">
        <f>R648-S648</f>
        <v>163768010</v>
      </c>
    </row>
    <row r="649" spans="1:20" s="169" customFormat="1" ht="15" customHeight="1">
      <c r="A649" s="23"/>
      <c r="B649" s="23"/>
      <c r="C649" s="23"/>
      <c r="D649" s="968" t="s">
        <v>1014</v>
      </c>
      <c r="E649" s="30">
        <v>0</v>
      </c>
      <c r="F649" s="30">
        <f>S654/1000</f>
        <v>0</v>
      </c>
      <c r="G649" s="505"/>
      <c r="H649" s="513"/>
      <c r="I649" s="223"/>
      <c r="J649" s="247"/>
      <c r="K649" s="239"/>
      <c r="L649" s="216"/>
      <c r="M649" s="239"/>
      <c r="N649" s="239"/>
      <c r="O649" s="239"/>
      <c r="P649" s="239"/>
      <c r="Q649" s="239"/>
      <c r="R649" s="217">
        <v>5597229</v>
      </c>
      <c r="S649" s="168"/>
      <c r="T649" s="7"/>
    </row>
    <row r="650" spans="1:20" s="169" customFormat="1" ht="15" customHeight="1">
      <c r="A650" s="23"/>
      <c r="B650" s="23"/>
      <c r="C650" s="23"/>
      <c r="D650" s="969"/>
      <c r="E650" s="966">
        <v>20000</v>
      </c>
      <c r="F650" s="966">
        <f>T654/1000</f>
        <v>5597.2290000000003</v>
      </c>
      <c r="G650" s="506"/>
      <c r="H650" s="511"/>
      <c r="I650" s="218"/>
      <c r="J650" s="180"/>
      <c r="K650" s="532"/>
      <c r="L650" s="60"/>
      <c r="M650" s="532"/>
      <c r="N650" s="532"/>
      <c r="O650" s="532"/>
      <c r="P650" s="532"/>
      <c r="Q650" s="532"/>
      <c r="R650" s="98"/>
      <c r="S650" s="168"/>
      <c r="T650" s="7"/>
    </row>
    <row r="651" spans="1:20" s="169" customFormat="1" ht="15" customHeight="1">
      <c r="A651" s="23"/>
      <c r="B651" s="23"/>
      <c r="C651" s="23"/>
      <c r="D651" s="969"/>
      <c r="E651" s="967"/>
      <c r="F651" s="967"/>
      <c r="G651" s="506"/>
      <c r="H651" s="511"/>
      <c r="I651" s="218"/>
      <c r="J651" s="180"/>
      <c r="K651" s="532"/>
      <c r="L651" s="60"/>
      <c r="M651" s="532"/>
      <c r="N651" s="532"/>
      <c r="O651" s="532"/>
      <c r="P651" s="532"/>
      <c r="Q651" s="532"/>
      <c r="R651" s="98"/>
      <c r="S651" s="168"/>
      <c r="T651" s="7"/>
    </row>
    <row r="652" spans="1:20" s="169" customFormat="1" ht="15" customHeight="1">
      <c r="A652" s="23"/>
      <c r="B652" s="23"/>
      <c r="C652" s="23"/>
      <c r="D652" s="969"/>
      <c r="E652" s="967"/>
      <c r="F652" s="967"/>
      <c r="G652" s="506"/>
      <c r="H652" s="511"/>
      <c r="I652" s="218"/>
      <c r="J652" s="180"/>
      <c r="K652" s="532"/>
      <c r="L652" s="60"/>
      <c r="M652" s="532"/>
      <c r="N652" s="532"/>
      <c r="O652" s="532"/>
      <c r="P652" s="532"/>
      <c r="Q652" s="532"/>
      <c r="R652" s="98"/>
      <c r="S652" s="168"/>
      <c r="T652" s="7"/>
    </row>
    <row r="653" spans="1:20" s="169" customFormat="1" ht="15" customHeight="1">
      <c r="A653" s="23"/>
      <c r="B653" s="23"/>
      <c r="C653" s="23"/>
      <c r="D653" s="969"/>
      <c r="E653" s="504"/>
      <c r="F653" s="504"/>
      <c r="G653" s="506"/>
      <c r="H653" s="511"/>
      <c r="I653" s="218"/>
      <c r="J653" s="180"/>
      <c r="K653" s="532"/>
      <c r="L653" s="532"/>
      <c r="M653" s="532"/>
      <c r="N653" s="532"/>
      <c r="O653" s="532"/>
      <c r="P653" s="532"/>
      <c r="Q653" s="532"/>
      <c r="R653" s="98"/>
      <c r="S653" s="168"/>
      <c r="T653" s="7"/>
    </row>
    <row r="654" spans="1:20" s="169" customFormat="1" ht="15" customHeight="1">
      <c r="A654" s="497"/>
      <c r="B654" s="497"/>
      <c r="C654" s="497"/>
      <c r="D654" s="970"/>
      <c r="E654" s="512"/>
      <c r="F654" s="512"/>
      <c r="G654" s="533"/>
      <c r="H654" s="521"/>
      <c r="I654" s="243"/>
      <c r="J654" s="244"/>
      <c r="K654" s="222"/>
      <c r="L654" s="222"/>
      <c r="M654" s="222"/>
      <c r="N654" s="222"/>
      <c r="O654" s="222"/>
      <c r="P654" s="222"/>
      <c r="Q654" s="222" t="s">
        <v>11</v>
      </c>
      <c r="R654" s="213">
        <f>SUM(R649:R653)</f>
        <v>5597229</v>
      </c>
      <c r="S654" s="168">
        <v>0</v>
      </c>
      <c r="T654" s="7">
        <f>R654-S654</f>
        <v>5597229</v>
      </c>
    </row>
    <row r="655" spans="1:20" s="169" customFormat="1" ht="15" customHeight="1">
      <c r="A655" s="23"/>
      <c r="B655" s="23"/>
      <c r="C655" s="23"/>
      <c r="D655" s="968" t="s">
        <v>1015</v>
      </c>
      <c r="E655" s="30">
        <v>0</v>
      </c>
      <c r="F655" s="30">
        <f>S660/1000</f>
        <v>0</v>
      </c>
      <c r="G655" s="505"/>
      <c r="H655" s="513"/>
      <c r="I655" s="223"/>
      <c r="J655" s="247"/>
      <c r="K655" s="239"/>
      <c r="L655" s="216"/>
      <c r="M655" s="239"/>
      <c r="N655" s="239"/>
      <c r="O655" s="239"/>
      <c r="P655" s="239"/>
      <c r="Q655" s="239"/>
      <c r="R655" s="217"/>
      <c r="S655" s="168"/>
      <c r="T655" s="7"/>
    </row>
    <row r="656" spans="1:20" s="169" customFormat="1" ht="15" customHeight="1">
      <c r="A656" s="23"/>
      <c r="B656" s="23"/>
      <c r="C656" s="23"/>
      <c r="D656" s="969"/>
      <c r="E656" s="966">
        <v>2000</v>
      </c>
      <c r="F656" s="966">
        <f>T660/1000</f>
        <v>0</v>
      </c>
      <c r="G656" s="506"/>
      <c r="H656" s="511"/>
      <c r="I656" s="218"/>
      <c r="J656" s="180"/>
      <c r="K656" s="532"/>
      <c r="L656" s="60"/>
      <c r="M656" s="532"/>
      <c r="N656" s="532"/>
      <c r="O656" s="532"/>
      <c r="P656" s="532"/>
      <c r="Q656" s="532"/>
      <c r="R656" s="98"/>
      <c r="S656" s="168"/>
      <c r="T656" s="7"/>
    </row>
    <row r="657" spans="1:20" s="169" customFormat="1" ht="15" customHeight="1">
      <c r="A657" s="23"/>
      <c r="B657" s="23"/>
      <c r="C657" s="23"/>
      <c r="D657" s="969"/>
      <c r="E657" s="967"/>
      <c r="F657" s="967"/>
      <c r="G657" s="506"/>
      <c r="H657" s="511"/>
      <c r="I657" s="218"/>
      <c r="J657" s="180"/>
      <c r="K657" s="532"/>
      <c r="L657" s="60"/>
      <c r="M657" s="532"/>
      <c r="N657" s="532"/>
      <c r="O657" s="532"/>
      <c r="P657" s="532"/>
      <c r="Q657" s="532"/>
      <c r="R657" s="98"/>
      <c r="S657" s="168"/>
      <c r="T657" s="7"/>
    </row>
    <row r="658" spans="1:20" s="169" customFormat="1" ht="15" customHeight="1">
      <c r="A658" s="23"/>
      <c r="B658" s="23"/>
      <c r="C658" s="23"/>
      <c r="D658" s="969"/>
      <c r="E658" s="967"/>
      <c r="F658" s="967"/>
      <c r="G658" s="506"/>
      <c r="H658" s="511"/>
      <c r="I658" s="218"/>
      <c r="J658" s="180"/>
      <c r="K658" s="532"/>
      <c r="L658" s="60"/>
      <c r="M658" s="532"/>
      <c r="N658" s="532"/>
      <c r="O658" s="532"/>
      <c r="P658" s="532"/>
      <c r="Q658" s="532"/>
      <c r="R658" s="98"/>
      <c r="S658" s="168"/>
      <c r="T658" s="7"/>
    </row>
    <row r="659" spans="1:20" s="169" customFormat="1" ht="15" customHeight="1">
      <c r="A659" s="23"/>
      <c r="B659" s="23"/>
      <c r="C659" s="23"/>
      <c r="D659" s="969"/>
      <c r="E659" s="504"/>
      <c r="F659" s="504"/>
      <c r="G659" s="506"/>
      <c r="H659" s="511"/>
      <c r="I659" s="218"/>
      <c r="J659" s="180"/>
      <c r="K659" s="532"/>
      <c r="L659" s="532"/>
      <c r="M659" s="532"/>
      <c r="N659" s="532"/>
      <c r="O659" s="532"/>
      <c r="P659" s="532"/>
      <c r="Q659" s="532"/>
      <c r="R659" s="98"/>
      <c r="S659" s="168"/>
      <c r="T659" s="7"/>
    </row>
    <row r="660" spans="1:20" s="169" customFormat="1" ht="15" customHeight="1">
      <c r="A660" s="497"/>
      <c r="B660" s="497"/>
      <c r="C660" s="497"/>
      <c r="D660" s="970"/>
      <c r="E660" s="512"/>
      <c r="F660" s="512"/>
      <c r="G660" s="533"/>
      <c r="H660" s="521"/>
      <c r="I660" s="243"/>
      <c r="J660" s="244"/>
      <c r="K660" s="222"/>
      <c r="L660" s="222"/>
      <c r="M660" s="222"/>
      <c r="N660" s="222"/>
      <c r="O660" s="222"/>
      <c r="P660" s="222"/>
      <c r="Q660" s="222" t="s">
        <v>23</v>
      </c>
      <c r="R660" s="213">
        <f>SUM(R655:R659)</f>
        <v>0</v>
      </c>
      <c r="S660" s="168">
        <v>0</v>
      </c>
      <c r="T660" s="7">
        <f>R660-S660</f>
        <v>0</v>
      </c>
    </row>
    <row r="661" spans="1:20" s="169" customFormat="1" ht="24.75" customHeight="1">
      <c r="A661" s="23"/>
      <c r="B661" s="924"/>
      <c r="C661" s="940" t="s">
        <v>267</v>
      </c>
      <c r="D661" s="31"/>
      <c r="E661" s="510">
        <f>SUM(E663,E669,E702,E710,E731,E410,E752,E727,E745,E758)</f>
        <v>57108</v>
      </c>
      <c r="F661" s="510">
        <f>SUM(F663,F669,F702,F710,F731,F410,F752,F727,F745,F758)</f>
        <v>71981.649999999994</v>
      </c>
      <c r="G661" s="935">
        <f>F661+F662-E661-E662</f>
        <v>-30611.476000000024</v>
      </c>
      <c r="H661" s="911">
        <f>G661/(E661+E662)</f>
        <v>-0.11188854815069328</v>
      </c>
      <c r="I661" s="158"/>
      <c r="J661" s="158"/>
      <c r="K661" s="158"/>
      <c r="L661" s="158"/>
      <c r="M661" s="158"/>
      <c r="N661" s="158"/>
      <c r="O661" s="158"/>
      <c r="P661" s="158"/>
      <c r="Q661" s="158"/>
      <c r="R661" s="158"/>
      <c r="S661" s="168"/>
      <c r="T661" s="7"/>
    </row>
    <row r="662" spans="1:20" s="169" customFormat="1" ht="22.5" customHeight="1">
      <c r="A662" s="23"/>
      <c r="B662" s="901"/>
      <c r="C662" s="941"/>
      <c r="D662" s="111"/>
      <c r="E662" s="510">
        <f>SUM(E665,E672,E705,E712,E729,E733,E747,E753,E762)</f>
        <v>216481</v>
      </c>
      <c r="F662" s="510">
        <f>SUM(F665,F672,F705,F712,F729,F733,F747,F753,F762)</f>
        <v>170995.87399999998</v>
      </c>
      <c r="G662" s="934"/>
      <c r="H662" s="915"/>
      <c r="I662" s="16"/>
      <c r="J662" s="17"/>
      <c r="K662" s="18"/>
      <c r="L662" s="18"/>
      <c r="M662" s="18"/>
      <c r="N662" s="18"/>
      <c r="O662" s="18"/>
      <c r="P662" s="18"/>
      <c r="Q662" s="18"/>
      <c r="R662" s="170"/>
      <c r="S662" s="168">
        <f>SUM(S668:S767)</f>
        <v>71981650</v>
      </c>
      <c r="T662" s="168">
        <f>T668+T700+T709+T726+T730+T744+T751+T756+T767</f>
        <v>170995874</v>
      </c>
    </row>
    <row r="663" spans="1:20" s="169" customFormat="1" ht="15" customHeight="1">
      <c r="A663" s="23"/>
      <c r="B663" s="22"/>
      <c r="C663" s="487"/>
      <c r="D663" s="976" t="s">
        <v>268</v>
      </c>
      <c r="E663" s="978">
        <v>0</v>
      </c>
      <c r="F663" s="978">
        <f>S668/1000</f>
        <v>0</v>
      </c>
      <c r="G663" s="933">
        <f>F663+F665-E663-E665</f>
        <v>-990</v>
      </c>
      <c r="H663" s="979">
        <f>G663/(E663+E665)</f>
        <v>-0.31578947368421051</v>
      </c>
      <c r="I663" s="218"/>
      <c r="J663" s="157"/>
      <c r="K663" s="21"/>
      <c r="L663" s="500"/>
      <c r="M663" s="202"/>
      <c r="N663" s="202"/>
      <c r="O663" s="202"/>
      <c r="P663" s="202"/>
      <c r="Q663" s="532"/>
      <c r="R663" s="68"/>
      <c r="S663" s="168"/>
      <c r="T663" s="7"/>
    </row>
    <row r="664" spans="1:20" s="169" customFormat="1" ht="15" customHeight="1">
      <c r="A664" s="23"/>
      <c r="B664" s="22"/>
      <c r="C664" s="487"/>
      <c r="D664" s="977"/>
      <c r="E664" s="978"/>
      <c r="F664" s="978"/>
      <c r="G664" s="935"/>
      <c r="H664" s="980"/>
      <c r="I664" s="218"/>
      <c r="J664" s="21"/>
      <c r="K664" s="21"/>
      <c r="L664" s="21"/>
      <c r="M664" s="202"/>
      <c r="N664" s="202"/>
      <c r="O664" s="202"/>
      <c r="P664" s="202"/>
      <c r="Q664" s="532"/>
      <c r="R664" s="68"/>
      <c r="S664" s="168"/>
      <c r="T664" s="7"/>
    </row>
    <row r="665" spans="1:20" s="169" customFormat="1" ht="15" customHeight="1">
      <c r="A665" s="23"/>
      <c r="B665" s="20"/>
      <c r="C665" s="487"/>
      <c r="D665" s="977"/>
      <c r="E665" s="978">
        <v>3135</v>
      </c>
      <c r="F665" s="978">
        <f>T668/1000</f>
        <v>2145</v>
      </c>
      <c r="G665" s="935"/>
      <c r="H665" s="980"/>
      <c r="I665" s="248" t="s">
        <v>269</v>
      </c>
      <c r="J665" s="249">
        <v>214500</v>
      </c>
      <c r="K665" s="249" t="s">
        <v>20</v>
      </c>
      <c r="L665" s="249">
        <v>10</v>
      </c>
      <c r="M665" s="202" t="s">
        <v>270</v>
      </c>
      <c r="N665" s="202"/>
      <c r="O665" s="202"/>
      <c r="P665" s="202"/>
      <c r="Q665" s="532" t="s">
        <v>22</v>
      </c>
      <c r="R665" s="68">
        <f>J665*L665</f>
        <v>2145000</v>
      </c>
      <c r="S665" s="168"/>
      <c r="T665" s="7"/>
    </row>
    <row r="666" spans="1:20" s="169" customFormat="1" ht="15" customHeight="1">
      <c r="A666" s="23"/>
      <c r="B666" s="20"/>
      <c r="C666" s="487"/>
      <c r="D666" s="977"/>
      <c r="E666" s="978"/>
      <c r="F666" s="978"/>
      <c r="G666" s="935"/>
      <c r="H666" s="980"/>
      <c r="I666" s="35"/>
      <c r="J666" s="157"/>
      <c r="K666" s="21"/>
      <c r="L666" s="651"/>
      <c r="M666" s="202"/>
      <c r="N666" s="489"/>
      <c r="O666" s="489"/>
      <c r="P666" s="489"/>
      <c r="Q666" s="659"/>
      <c r="R666" s="68"/>
      <c r="S666" s="168"/>
      <c r="T666" s="7"/>
    </row>
    <row r="667" spans="1:20" s="169" customFormat="1" ht="15" customHeight="1">
      <c r="A667" s="23"/>
      <c r="B667" s="20"/>
      <c r="C667" s="487"/>
      <c r="D667" s="522"/>
      <c r="E667" s="33"/>
      <c r="F667" s="33"/>
      <c r="G667" s="506"/>
      <c r="H667" s="535"/>
      <c r="I667" s="35"/>
      <c r="J667" s="157"/>
      <c r="K667" s="20"/>
      <c r="L667" s="489"/>
      <c r="M667" s="489"/>
      <c r="N667" s="489"/>
      <c r="O667" s="489"/>
      <c r="P667" s="489"/>
      <c r="Q667" s="158"/>
      <c r="R667" s="179"/>
      <c r="S667" s="168"/>
      <c r="T667" s="7"/>
    </row>
    <row r="668" spans="1:20" s="169" customFormat="1" ht="15" customHeight="1">
      <c r="A668" s="497"/>
      <c r="B668" s="18"/>
      <c r="C668" s="488"/>
      <c r="D668" s="493"/>
      <c r="E668" s="140"/>
      <c r="F668" s="140"/>
      <c r="G668" s="533"/>
      <c r="H668" s="250"/>
      <c r="I668" s="16"/>
      <c r="J668" s="189"/>
      <c r="K668" s="18"/>
      <c r="L668" s="534"/>
      <c r="M668" s="18"/>
      <c r="N668" s="18"/>
      <c r="O668" s="18"/>
      <c r="P668" s="18"/>
      <c r="Q668" s="222" t="s">
        <v>271</v>
      </c>
      <c r="R668" s="251">
        <f>SUM(R663,R664,R665,R666)</f>
        <v>2145000</v>
      </c>
      <c r="S668" s="168">
        <v>0</v>
      </c>
      <c r="T668" s="7">
        <f>R668-S668</f>
        <v>2145000</v>
      </c>
    </row>
    <row r="669" spans="1:20" s="169" customFormat="1" ht="39.75" customHeight="1">
      <c r="A669" s="23"/>
      <c r="B669" s="20"/>
      <c r="C669" s="23"/>
      <c r="D669" s="665" t="s">
        <v>272</v>
      </c>
      <c r="E669" s="583">
        <v>46548</v>
      </c>
      <c r="F669" s="583">
        <f>S700/1000</f>
        <v>60461.65</v>
      </c>
      <c r="G669" s="587">
        <f>F669+F672-E669-E672</f>
        <v>-21078.799999999988</v>
      </c>
      <c r="H669" s="584">
        <f>G669/(E669+E672)</f>
        <v>-0.14184639610236663</v>
      </c>
      <c r="I669" s="35"/>
      <c r="J669" s="157"/>
      <c r="K669" s="20"/>
      <c r="L669" s="641"/>
      <c r="M669" s="20"/>
      <c r="N669" s="20"/>
      <c r="O669" s="20"/>
      <c r="P669" s="20"/>
      <c r="Q669" s="659"/>
      <c r="R669" s="98"/>
      <c r="S669" s="168"/>
      <c r="T669" s="7"/>
    </row>
    <row r="670" spans="1:20" s="169" customFormat="1" ht="15" hidden="1" customHeight="1">
      <c r="A670" s="23"/>
      <c r="B670" s="20"/>
      <c r="C670" s="23"/>
      <c r="D670" s="665"/>
      <c r="E670" s="583"/>
      <c r="F670" s="583"/>
      <c r="G670" s="587"/>
      <c r="H670" s="584"/>
      <c r="I670" s="35"/>
      <c r="J670" s="157"/>
      <c r="K670" s="20"/>
      <c r="L670" s="641"/>
      <c r="M670" s="20"/>
      <c r="N670" s="20"/>
      <c r="O670" s="20"/>
      <c r="P670" s="20"/>
      <c r="Q670" s="659"/>
      <c r="R670" s="98"/>
      <c r="S670" s="168"/>
      <c r="T670" s="7"/>
    </row>
    <row r="671" spans="1:20" s="169" customFormat="1" ht="15" hidden="1" customHeight="1">
      <c r="A671" s="23"/>
      <c r="B671" s="20"/>
      <c r="C671" s="23"/>
      <c r="D671" s="665"/>
      <c r="E671" s="583"/>
      <c r="F671" s="583"/>
      <c r="G671" s="587"/>
      <c r="H671" s="584"/>
      <c r="I671" s="35"/>
      <c r="J671" s="157"/>
      <c r="K671" s="20"/>
      <c r="L671" s="641"/>
      <c r="M671" s="20"/>
      <c r="N671" s="20"/>
      <c r="O671" s="20"/>
      <c r="P671" s="20"/>
      <c r="Q671" s="659"/>
      <c r="R671" s="98"/>
      <c r="S671" s="168"/>
      <c r="T671" s="7"/>
    </row>
    <row r="672" spans="1:20" s="169" customFormat="1" ht="15" customHeight="1">
      <c r="A672" s="23"/>
      <c r="B672" s="20"/>
      <c r="C672" s="32"/>
      <c r="D672" s="665"/>
      <c r="E672" s="583">
        <v>102055</v>
      </c>
      <c r="F672" s="583">
        <f>T700/1000</f>
        <v>67062.55</v>
      </c>
      <c r="G672" s="587"/>
      <c r="H672" s="584"/>
      <c r="I672" s="35"/>
      <c r="J672" s="157"/>
      <c r="K672" s="20"/>
      <c r="L672" s="641"/>
      <c r="M672" s="20"/>
      <c r="N672" s="20"/>
      <c r="O672" s="20"/>
      <c r="P672" s="20"/>
      <c r="Q672" s="659"/>
      <c r="R672" s="98"/>
      <c r="S672" s="168"/>
      <c r="T672" s="7"/>
    </row>
    <row r="673" spans="1:21" s="169" customFormat="1" ht="15" hidden="1" customHeight="1">
      <c r="A673" s="23"/>
      <c r="B673" s="20"/>
      <c r="C673" s="32"/>
      <c r="D673" s="665"/>
      <c r="E673" s="657"/>
      <c r="F673" s="657"/>
      <c r="G673" s="649"/>
      <c r="H673" s="655"/>
      <c r="I673" s="35"/>
      <c r="J673" s="157"/>
      <c r="K673" s="20"/>
      <c r="L673" s="641"/>
      <c r="M673" s="20"/>
      <c r="N673" s="20"/>
      <c r="O673" s="20"/>
      <c r="P673" s="20"/>
      <c r="Q673" s="659"/>
      <c r="R673" s="98"/>
      <c r="S673" s="168"/>
      <c r="T673" s="7"/>
    </row>
    <row r="674" spans="1:21" s="169" customFormat="1" ht="15" hidden="1" customHeight="1">
      <c r="A674" s="23"/>
      <c r="B674" s="20"/>
      <c r="C674" s="32"/>
      <c r="D674" s="665"/>
      <c r="E674" s="657"/>
      <c r="F674" s="657"/>
      <c r="G674" s="649"/>
      <c r="H674" s="655"/>
      <c r="I674" s="252"/>
      <c r="J674" s="67"/>
      <c r="K674" s="588"/>
      <c r="L674" s="588"/>
      <c r="M674" s="588"/>
      <c r="N674" s="588"/>
      <c r="O674" s="588"/>
      <c r="P674" s="588"/>
      <c r="Q674" s="588"/>
      <c r="R674" s="253"/>
      <c r="S674" s="168"/>
      <c r="T674" s="7"/>
    </row>
    <row r="675" spans="1:21" s="169" customFormat="1" ht="15.75" customHeight="1">
      <c r="A675" s="23"/>
      <c r="B675" s="20"/>
      <c r="C675" s="32"/>
      <c r="D675" s="758"/>
      <c r="E675" s="757"/>
      <c r="F675" s="757"/>
      <c r="G675" s="760"/>
      <c r="H675" s="759"/>
      <c r="I675" s="218"/>
      <c r="J675" s="254"/>
      <c r="K675" s="761"/>
      <c r="L675" s="761"/>
      <c r="M675" s="761"/>
      <c r="N675" s="761"/>
      <c r="O675" s="761"/>
      <c r="P675" s="761"/>
      <c r="Q675" s="761"/>
      <c r="R675" s="253"/>
      <c r="S675" s="168"/>
      <c r="T675" s="7"/>
    </row>
    <row r="676" spans="1:21" s="169" customFormat="1" ht="15.75" customHeight="1">
      <c r="A676" s="23"/>
      <c r="B676" s="20"/>
      <c r="C676" s="32"/>
      <c r="D676" s="665"/>
      <c r="E676" s="583"/>
      <c r="F676" s="583"/>
      <c r="G676" s="587"/>
      <c r="H676" s="584"/>
      <c r="I676" s="218" t="s">
        <v>274</v>
      </c>
      <c r="J676" s="254"/>
      <c r="K676" s="588"/>
      <c r="L676" s="588"/>
      <c r="M676" s="588"/>
      <c r="N676" s="588"/>
      <c r="O676" s="588"/>
      <c r="P676" s="588"/>
      <c r="Q676" s="588"/>
      <c r="R676" s="253">
        <f>R677+R678+R679</f>
        <v>600000</v>
      </c>
      <c r="S676" s="168"/>
      <c r="T676" s="7"/>
    </row>
    <row r="677" spans="1:21" s="169" customFormat="1" ht="15" customHeight="1">
      <c r="A677" s="23"/>
      <c r="B677" s="20"/>
      <c r="C677" s="32"/>
      <c r="D677" s="585"/>
      <c r="E677" s="33"/>
      <c r="F677" s="33"/>
      <c r="G677" s="143"/>
      <c r="H677" s="584"/>
      <c r="I677" s="252" t="s">
        <v>275</v>
      </c>
      <c r="J677" s="255">
        <v>4000</v>
      </c>
      <c r="K677" s="588" t="s">
        <v>20</v>
      </c>
      <c r="L677" s="588" t="s">
        <v>276</v>
      </c>
      <c r="M677" s="588" t="s">
        <v>152</v>
      </c>
      <c r="N677" s="588" t="s">
        <v>20</v>
      </c>
      <c r="O677" s="588" t="s">
        <v>247</v>
      </c>
      <c r="P677" s="588" t="s">
        <v>249</v>
      </c>
      <c r="Q677" s="588" t="s">
        <v>22</v>
      </c>
      <c r="R677" s="253">
        <f>J677*L677*O677</f>
        <v>200000</v>
      </c>
      <c r="S677" s="168"/>
      <c r="T677" s="7"/>
    </row>
    <row r="678" spans="1:21" s="169" customFormat="1" ht="15" customHeight="1">
      <c r="A678" s="23"/>
      <c r="B678" s="20"/>
      <c r="C678" s="32"/>
      <c r="D678" s="585"/>
      <c r="E678" s="33"/>
      <c r="F678" s="33"/>
      <c r="G678" s="143"/>
      <c r="H678" s="584"/>
      <c r="I678" s="252" t="s">
        <v>852</v>
      </c>
      <c r="J678" s="255">
        <v>4000</v>
      </c>
      <c r="K678" s="588" t="s">
        <v>20</v>
      </c>
      <c r="L678" s="588" t="s">
        <v>276</v>
      </c>
      <c r="M678" s="588" t="s">
        <v>152</v>
      </c>
      <c r="N678" s="588" t="s">
        <v>20</v>
      </c>
      <c r="O678" s="588" t="s">
        <v>247</v>
      </c>
      <c r="P678" s="588" t="s">
        <v>249</v>
      </c>
      <c r="Q678" s="588" t="s">
        <v>22</v>
      </c>
      <c r="R678" s="253">
        <f>J678*L678*O678</f>
        <v>200000</v>
      </c>
      <c r="S678" s="168"/>
      <c r="T678" s="7"/>
    </row>
    <row r="679" spans="1:21" s="169" customFormat="1" ht="15" customHeight="1">
      <c r="A679" s="23"/>
      <c r="B679" s="20"/>
      <c r="C679" s="32"/>
      <c r="D679" s="585"/>
      <c r="E679" s="33"/>
      <c r="F679" s="33"/>
      <c r="G679" s="143"/>
      <c r="H679" s="584"/>
      <c r="I679" s="256" t="s">
        <v>277</v>
      </c>
      <c r="J679" s="255">
        <v>4000</v>
      </c>
      <c r="K679" s="588" t="s">
        <v>20</v>
      </c>
      <c r="L679" s="588" t="s">
        <v>276</v>
      </c>
      <c r="M679" s="588" t="s">
        <v>152</v>
      </c>
      <c r="N679" s="588" t="s">
        <v>20</v>
      </c>
      <c r="O679" s="588" t="s">
        <v>247</v>
      </c>
      <c r="P679" s="588" t="s">
        <v>249</v>
      </c>
      <c r="Q679" s="222" t="s">
        <v>22</v>
      </c>
      <c r="R679" s="253">
        <f>J679*L679*O679</f>
        <v>200000</v>
      </c>
      <c r="S679" s="168"/>
      <c r="T679" s="7"/>
    </row>
    <row r="680" spans="1:21" s="169" customFormat="1" ht="15" customHeight="1">
      <c r="A680" s="23"/>
      <c r="B680" s="20"/>
      <c r="C680" s="32"/>
      <c r="D680" s="585"/>
      <c r="E680" s="104"/>
      <c r="F680" s="104"/>
      <c r="G680" s="143"/>
      <c r="H680" s="584"/>
      <c r="I680" s="248" t="s">
        <v>278</v>
      </c>
      <c r="J680" s="254"/>
      <c r="K680" s="588"/>
      <c r="L680" s="588"/>
      <c r="M680" s="588"/>
      <c r="N680" s="588"/>
      <c r="O680" s="588"/>
      <c r="P680" s="588"/>
      <c r="Q680" s="588"/>
      <c r="R680" s="253">
        <f>R681</f>
        <v>120000</v>
      </c>
      <c r="S680" s="168"/>
      <c r="T680" s="7"/>
      <c r="U680" s="338"/>
    </row>
    <row r="681" spans="1:21" s="169" customFormat="1" ht="15" customHeight="1">
      <c r="A681" s="23"/>
      <c r="B681" s="20"/>
      <c r="C681" s="32"/>
      <c r="D681" s="585"/>
      <c r="E681" s="104"/>
      <c r="F681" s="104"/>
      <c r="G681" s="143"/>
      <c r="H681" s="584"/>
      <c r="I681" s="248" t="s">
        <v>853</v>
      </c>
      <c r="J681" s="255">
        <v>10000</v>
      </c>
      <c r="K681" s="588" t="s">
        <v>20</v>
      </c>
      <c r="L681" s="761" t="s">
        <v>229</v>
      </c>
      <c r="M681" s="761" t="s">
        <v>19</v>
      </c>
      <c r="N681" s="588" t="s">
        <v>20</v>
      </c>
      <c r="O681" s="588" t="s">
        <v>247</v>
      </c>
      <c r="P681" s="588" t="s">
        <v>249</v>
      </c>
      <c r="Q681" s="222" t="s">
        <v>22</v>
      </c>
      <c r="R681" s="253">
        <f>J681*L681*O681</f>
        <v>120000</v>
      </c>
      <c r="S681" s="168"/>
      <c r="T681" s="7"/>
    </row>
    <row r="682" spans="1:21" s="169" customFormat="1" ht="15" customHeight="1">
      <c r="A682" s="23"/>
      <c r="B682" s="20"/>
      <c r="C682" s="32"/>
      <c r="D682" s="585"/>
      <c r="E682" s="104"/>
      <c r="F682" s="104"/>
      <c r="G682" s="143"/>
      <c r="H682" s="584"/>
      <c r="I682" s="393" t="s">
        <v>279</v>
      </c>
      <c r="J682" s="176">
        <v>1540000</v>
      </c>
      <c r="K682" s="394" t="s">
        <v>20</v>
      </c>
      <c r="L682" s="394" t="s">
        <v>826</v>
      </c>
      <c r="M682" s="394" t="s">
        <v>19</v>
      </c>
      <c r="N682" s="395"/>
      <c r="O682" s="394"/>
      <c r="P682" s="394"/>
      <c r="Q682" s="394" t="s">
        <v>22</v>
      </c>
      <c r="R682" s="133">
        <f>J682*L682</f>
        <v>7700000</v>
      </c>
      <c r="S682" s="168"/>
      <c r="T682" s="7"/>
    </row>
    <row r="683" spans="1:21" s="169" customFormat="1" ht="15" customHeight="1">
      <c r="A683" s="23"/>
      <c r="B683" s="20"/>
      <c r="C683" s="32"/>
      <c r="D683" s="753"/>
      <c r="E683" s="104"/>
      <c r="F683" s="104"/>
      <c r="G683" s="143"/>
      <c r="H683" s="752"/>
      <c r="I683" s="393"/>
      <c r="J683" s="176">
        <v>700000</v>
      </c>
      <c r="K683" s="394" t="s">
        <v>20</v>
      </c>
      <c r="L683" s="394" t="s">
        <v>1198</v>
      </c>
      <c r="M683" s="394" t="s">
        <v>1199</v>
      </c>
      <c r="N683" s="395"/>
      <c r="O683" s="394"/>
      <c r="P683" s="394"/>
      <c r="Q683" s="394" t="s">
        <v>22</v>
      </c>
      <c r="R683" s="133">
        <f>J683*L683</f>
        <v>4900000</v>
      </c>
      <c r="S683" s="168"/>
      <c r="T683" s="7"/>
    </row>
    <row r="684" spans="1:21" s="169" customFormat="1" ht="14.25" customHeight="1">
      <c r="A684" s="23"/>
      <c r="B684" s="20"/>
      <c r="C684" s="32"/>
      <c r="D684" s="585"/>
      <c r="E684" s="104"/>
      <c r="F684" s="104"/>
      <c r="G684" s="143"/>
      <c r="H684" s="584"/>
      <c r="I684" s="248" t="s">
        <v>280</v>
      </c>
      <c r="J684" s="180">
        <v>275000</v>
      </c>
      <c r="K684" s="588" t="s">
        <v>20</v>
      </c>
      <c r="L684" s="588" t="s">
        <v>247</v>
      </c>
      <c r="M684" s="588" t="s">
        <v>82</v>
      </c>
      <c r="N684" s="588"/>
      <c r="O684" s="588"/>
      <c r="P684" s="588"/>
      <c r="Q684" s="588" t="s">
        <v>22</v>
      </c>
      <c r="R684" s="68">
        <f>J684*L684</f>
        <v>275000</v>
      </c>
      <c r="S684" s="168"/>
      <c r="T684" s="7"/>
    </row>
    <row r="685" spans="1:21" s="169" customFormat="1" ht="15" customHeight="1">
      <c r="A685" s="23"/>
      <c r="B685" s="20"/>
      <c r="C685" s="32"/>
      <c r="D685" s="585"/>
      <c r="E685" s="104"/>
      <c r="F685" s="104"/>
      <c r="G685" s="143"/>
      <c r="H685" s="584"/>
      <c r="I685" s="248" t="s">
        <v>854</v>
      </c>
      <c r="J685" s="180"/>
      <c r="K685" s="588"/>
      <c r="L685" s="588"/>
      <c r="M685" s="588"/>
      <c r="N685" s="588"/>
      <c r="O685" s="588"/>
      <c r="P685" s="588"/>
      <c r="Q685" s="588"/>
      <c r="R685" s="68">
        <f>R686+R687+R689+R690+R691+R692+R688</f>
        <v>112610000</v>
      </c>
      <c r="S685" s="168"/>
      <c r="T685" s="7"/>
    </row>
    <row r="686" spans="1:21" s="169" customFormat="1" ht="15" customHeight="1">
      <c r="A686" s="23"/>
      <c r="B686" s="20"/>
      <c r="C686" s="32"/>
      <c r="D686" s="585"/>
      <c r="E686" s="104"/>
      <c r="F686" s="104"/>
      <c r="G686" s="143"/>
      <c r="H686" s="584"/>
      <c r="I686" s="393" t="s">
        <v>281</v>
      </c>
      <c r="J686" s="772">
        <v>39000</v>
      </c>
      <c r="K686" s="773" t="s">
        <v>20</v>
      </c>
      <c r="L686" s="773" t="s">
        <v>855</v>
      </c>
      <c r="M686" s="773" t="s">
        <v>282</v>
      </c>
      <c r="N686" s="773" t="s">
        <v>20</v>
      </c>
      <c r="O686" s="773" t="s">
        <v>735</v>
      </c>
      <c r="P686" s="773" t="s">
        <v>21</v>
      </c>
      <c r="Q686" s="773" t="s">
        <v>22</v>
      </c>
      <c r="R686" s="114">
        <f>J686*L686*O686</f>
        <v>46644000</v>
      </c>
      <c r="S686" s="168"/>
      <c r="T686" s="7"/>
    </row>
    <row r="687" spans="1:21" s="169" customFormat="1" ht="15" customHeight="1">
      <c r="A687" s="23"/>
      <c r="B687" s="20"/>
      <c r="C687" s="32"/>
      <c r="D687" s="585"/>
      <c r="E687" s="104"/>
      <c r="F687" s="104"/>
      <c r="G687" s="143"/>
      <c r="H687" s="584"/>
      <c r="I687" s="393" t="s">
        <v>283</v>
      </c>
      <c r="J687" s="772">
        <v>36000</v>
      </c>
      <c r="K687" s="773" t="s">
        <v>20</v>
      </c>
      <c r="L687" s="773" t="s">
        <v>239</v>
      </c>
      <c r="M687" s="773" t="s">
        <v>284</v>
      </c>
      <c r="N687" s="773" t="s">
        <v>20</v>
      </c>
      <c r="O687" s="773" t="s">
        <v>276</v>
      </c>
      <c r="P687" s="773" t="s">
        <v>152</v>
      </c>
      <c r="Q687" s="773" t="s">
        <v>22</v>
      </c>
      <c r="R687" s="114">
        <v>1217650</v>
      </c>
      <c r="S687" s="168"/>
      <c r="T687" s="7"/>
    </row>
    <row r="688" spans="1:21" s="169" customFormat="1" ht="15" customHeight="1">
      <c r="A688" s="23"/>
      <c r="B688" s="20"/>
      <c r="C688" s="32"/>
      <c r="D688" s="767"/>
      <c r="E688" s="104"/>
      <c r="F688" s="104"/>
      <c r="G688" s="143"/>
      <c r="H688" s="768"/>
      <c r="I688" s="248"/>
      <c r="J688" s="180"/>
      <c r="K688" s="769"/>
      <c r="L688" s="769"/>
      <c r="M688" s="769"/>
      <c r="N688" s="769"/>
      <c r="O688" s="769"/>
      <c r="P688" s="769"/>
      <c r="Q688" s="769"/>
      <c r="R688" s="68">
        <f>9000000-1217650</f>
        <v>7782350</v>
      </c>
      <c r="S688" s="168"/>
      <c r="T688" s="7"/>
    </row>
    <row r="689" spans="1:20" s="169" customFormat="1" ht="15" customHeight="1">
      <c r="A689" s="23"/>
      <c r="B689" s="20"/>
      <c r="C689" s="32"/>
      <c r="D689" s="585"/>
      <c r="E689" s="104"/>
      <c r="F689" s="104"/>
      <c r="G689" s="143"/>
      <c r="H689" s="584"/>
      <c r="I689" s="248" t="s">
        <v>285</v>
      </c>
      <c r="J689" s="180">
        <v>36000</v>
      </c>
      <c r="K689" s="588" t="s">
        <v>20</v>
      </c>
      <c r="L689" s="588" t="s">
        <v>290</v>
      </c>
      <c r="M689" s="588" t="s">
        <v>284</v>
      </c>
      <c r="N689" s="588" t="s">
        <v>20</v>
      </c>
      <c r="O689" s="588" t="s">
        <v>229</v>
      </c>
      <c r="P689" s="588" t="s">
        <v>19</v>
      </c>
      <c r="Q689" s="588" t="s">
        <v>22</v>
      </c>
      <c r="R689" s="68">
        <f>J689*L689*O689</f>
        <v>4320000</v>
      </c>
      <c r="S689" s="168"/>
      <c r="T689" s="7"/>
    </row>
    <row r="690" spans="1:20" s="169" customFormat="1" ht="15" customHeight="1">
      <c r="A690" s="23"/>
      <c r="B690" s="20"/>
      <c r="C690" s="32"/>
      <c r="D690" s="585"/>
      <c r="E690" s="104"/>
      <c r="F690" s="104"/>
      <c r="G690" s="143"/>
      <c r="H690" s="584"/>
      <c r="I690" s="248" t="s">
        <v>286</v>
      </c>
      <c r="J690" s="180">
        <v>24000</v>
      </c>
      <c r="K690" s="588" t="s">
        <v>20</v>
      </c>
      <c r="L690" s="762" t="s">
        <v>1205</v>
      </c>
      <c r="M690" s="588" t="s">
        <v>20</v>
      </c>
      <c r="N690" s="588" t="s">
        <v>859</v>
      </c>
      <c r="O690" s="588" t="s">
        <v>20</v>
      </c>
      <c r="P690" s="588" t="s">
        <v>273</v>
      </c>
      <c r="Q690" s="588" t="s">
        <v>22</v>
      </c>
      <c r="R690" s="68">
        <v>24480000</v>
      </c>
      <c r="S690" s="168"/>
      <c r="T690" s="7"/>
    </row>
    <row r="691" spans="1:20" s="169" customFormat="1" ht="15" customHeight="1">
      <c r="A691" s="23"/>
      <c r="B691" s="20"/>
      <c r="C691" s="32"/>
      <c r="D691" s="585"/>
      <c r="E691" s="104"/>
      <c r="F691" s="104"/>
      <c r="G691" s="143"/>
      <c r="H691" s="584"/>
      <c r="I691" s="257" t="s">
        <v>287</v>
      </c>
      <c r="J691" s="180">
        <v>34000</v>
      </c>
      <c r="K691" s="588" t="s">
        <v>20</v>
      </c>
      <c r="L691" s="588" t="s">
        <v>855</v>
      </c>
      <c r="M691" s="588" t="s">
        <v>282</v>
      </c>
      <c r="N691" s="588" t="s">
        <v>20</v>
      </c>
      <c r="O691" s="588" t="s">
        <v>247</v>
      </c>
      <c r="P691" s="588" t="s">
        <v>21</v>
      </c>
      <c r="Q691" s="588" t="s">
        <v>22</v>
      </c>
      <c r="R691" s="68">
        <f>J691*L691*O691</f>
        <v>10166000</v>
      </c>
      <c r="S691" s="168"/>
      <c r="T691" s="7"/>
    </row>
    <row r="692" spans="1:20" s="169" customFormat="1" ht="15" customHeight="1">
      <c r="A692" s="23"/>
      <c r="B692" s="20"/>
      <c r="C692" s="32"/>
      <c r="D692" s="585"/>
      <c r="E692" s="104"/>
      <c r="F692" s="104"/>
      <c r="G692" s="143"/>
      <c r="H692" s="584"/>
      <c r="I692" s="257" t="s">
        <v>288</v>
      </c>
      <c r="J692" s="180">
        <v>36000</v>
      </c>
      <c r="K692" s="588" t="s">
        <v>20</v>
      </c>
      <c r="L692" s="588" t="s">
        <v>736</v>
      </c>
      <c r="M692" s="588" t="s">
        <v>284</v>
      </c>
      <c r="N692" s="588" t="s">
        <v>20</v>
      </c>
      <c r="O692" s="588" t="s">
        <v>247</v>
      </c>
      <c r="P692" s="588" t="s">
        <v>21</v>
      </c>
      <c r="Q692" s="588" t="s">
        <v>22</v>
      </c>
      <c r="R692" s="68">
        <f>J692*L692*O692</f>
        <v>18000000</v>
      </c>
      <c r="S692" s="168"/>
      <c r="T692" s="7"/>
    </row>
    <row r="693" spans="1:20" s="169" customFormat="1" ht="15" customHeight="1">
      <c r="A693" s="23"/>
      <c r="B693" s="20"/>
      <c r="C693" s="32"/>
      <c r="D693" s="585"/>
      <c r="E693" s="104"/>
      <c r="F693" s="104"/>
      <c r="G693" s="143"/>
      <c r="H693" s="584"/>
      <c r="I693" s="202" t="s">
        <v>289</v>
      </c>
      <c r="J693" s="180"/>
      <c r="K693" s="586"/>
      <c r="L693" s="586"/>
      <c r="M693" s="586"/>
      <c r="N693" s="586"/>
      <c r="O693" s="586"/>
      <c r="P693" s="586"/>
      <c r="Q693" s="588"/>
      <c r="R693" s="68">
        <f>R694+R695</f>
        <v>430000</v>
      </c>
      <c r="S693" s="168"/>
      <c r="T693" s="7"/>
    </row>
    <row r="694" spans="1:20" s="169" customFormat="1" ht="15" customHeight="1">
      <c r="A694" s="23"/>
      <c r="B694" s="20"/>
      <c r="C694" s="32"/>
      <c r="D694" s="585"/>
      <c r="E694" s="104"/>
      <c r="F694" s="104"/>
      <c r="G694" s="143"/>
      <c r="H694" s="584"/>
      <c r="I694" s="202" t="s">
        <v>221</v>
      </c>
      <c r="J694" s="180">
        <v>20000</v>
      </c>
      <c r="K694" s="586" t="s">
        <v>20</v>
      </c>
      <c r="L694" s="586" t="s">
        <v>290</v>
      </c>
      <c r="M694" s="586" t="s">
        <v>21</v>
      </c>
      <c r="N694" s="586" t="s">
        <v>20</v>
      </c>
      <c r="O694" s="586" t="s">
        <v>264</v>
      </c>
      <c r="P694" s="586" t="s">
        <v>82</v>
      </c>
      <c r="Q694" s="588" t="s">
        <v>22</v>
      </c>
      <c r="R694" s="68">
        <f>J694*L694*O694</f>
        <v>400000</v>
      </c>
      <c r="S694" s="168"/>
      <c r="T694" s="7"/>
    </row>
    <row r="695" spans="1:20" s="169" customFormat="1" ht="15" customHeight="1">
      <c r="A695" s="23"/>
      <c r="B695" s="20"/>
      <c r="C695" s="32"/>
      <c r="D695" s="585"/>
      <c r="E695" s="104"/>
      <c r="F695" s="104"/>
      <c r="G695" s="143"/>
      <c r="H695" s="584"/>
      <c r="I695" s="202" t="s">
        <v>291</v>
      </c>
      <c r="J695" s="180">
        <v>30000</v>
      </c>
      <c r="K695" s="586" t="s">
        <v>20</v>
      </c>
      <c r="L695" s="586" t="s">
        <v>247</v>
      </c>
      <c r="M695" s="586" t="s">
        <v>292</v>
      </c>
      <c r="N695" s="586"/>
      <c r="O695" s="586"/>
      <c r="P695" s="586"/>
      <c r="Q695" s="588" t="s">
        <v>22</v>
      </c>
      <c r="R695" s="68">
        <f>J695*L695</f>
        <v>30000</v>
      </c>
      <c r="S695" s="168"/>
      <c r="T695" s="7"/>
    </row>
    <row r="696" spans="1:20" s="169" customFormat="1" ht="15" customHeight="1">
      <c r="A696" s="23"/>
      <c r="B696" s="20"/>
      <c r="C696" s="32"/>
      <c r="D696" s="585"/>
      <c r="E696" s="104"/>
      <c r="F696" s="104"/>
      <c r="G696" s="143"/>
      <c r="H696" s="584"/>
      <c r="I696" s="202" t="s">
        <v>293</v>
      </c>
      <c r="J696" s="67"/>
      <c r="K696" s="586"/>
      <c r="L696" s="219"/>
      <c r="M696" s="586"/>
      <c r="N696" s="586"/>
      <c r="O696" s="586"/>
      <c r="P696" s="586"/>
      <c r="Q696" s="588"/>
      <c r="R696" s="253">
        <f>R697</f>
        <v>889200</v>
      </c>
      <c r="S696" s="168"/>
      <c r="T696" s="7"/>
    </row>
    <row r="697" spans="1:20" s="169" customFormat="1" ht="15" customHeight="1">
      <c r="A697" s="23"/>
      <c r="B697" s="20"/>
      <c r="C697" s="32"/>
      <c r="D697" s="585"/>
      <c r="E697" s="104"/>
      <c r="F697" s="104"/>
      <c r="G697" s="143"/>
      <c r="H697" s="584"/>
      <c r="I697" s="202" t="s">
        <v>1121</v>
      </c>
      <c r="J697" s="67">
        <v>17100</v>
      </c>
      <c r="K697" s="586" t="s">
        <v>20</v>
      </c>
      <c r="L697" s="219">
        <v>52</v>
      </c>
      <c r="M697" s="586" t="s">
        <v>260</v>
      </c>
      <c r="N697" s="586" t="s">
        <v>20</v>
      </c>
      <c r="O697" s="586" t="s">
        <v>247</v>
      </c>
      <c r="P697" s="586" t="s">
        <v>21</v>
      </c>
      <c r="Q697" s="588" t="s">
        <v>22</v>
      </c>
      <c r="R697" s="253">
        <f>J697*L697*O697</f>
        <v>889200</v>
      </c>
      <c r="S697" s="337"/>
      <c r="T697" s="7"/>
    </row>
    <row r="698" spans="1:20" s="169" customFormat="1" ht="15" hidden="1" customHeight="1">
      <c r="A698" s="23"/>
      <c r="B698" s="20"/>
      <c r="C698" s="32"/>
      <c r="D698" s="646"/>
      <c r="E698" s="104"/>
      <c r="F698" s="104"/>
      <c r="G698" s="143"/>
      <c r="H698" s="655"/>
      <c r="I698" s="202" t="s">
        <v>860</v>
      </c>
      <c r="J698" s="180">
        <v>10000</v>
      </c>
      <c r="K698" s="659" t="s">
        <v>20</v>
      </c>
      <c r="L698" s="659" t="s">
        <v>857</v>
      </c>
      <c r="M698" s="659" t="s">
        <v>34</v>
      </c>
      <c r="N698" s="659"/>
      <c r="O698" s="659"/>
      <c r="P698" s="659"/>
      <c r="Q698" s="659" t="s">
        <v>22</v>
      </c>
      <c r="R698" s="68">
        <f>J698*L698</f>
        <v>0</v>
      </c>
      <c r="S698" s="337"/>
      <c r="T698" s="7"/>
    </row>
    <row r="699" spans="1:20" s="169" customFormat="1" ht="15" customHeight="1">
      <c r="A699" s="23"/>
      <c r="B699" s="20"/>
      <c r="C699" s="32"/>
      <c r="D699" s="585"/>
      <c r="E699" s="104"/>
      <c r="F699" s="104"/>
      <c r="G699" s="143"/>
      <c r="H699" s="584"/>
      <c r="I699" s="258"/>
      <c r="J699" s="259"/>
      <c r="K699" s="260"/>
      <c r="L699" s="260"/>
      <c r="M699" s="260"/>
      <c r="N699" s="260"/>
      <c r="O699" s="260"/>
      <c r="P699" s="260"/>
      <c r="Q699" s="260"/>
      <c r="R699" s="261"/>
      <c r="S699" s="168"/>
      <c r="T699" s="7"/>
    </row>
    <row r="700" spans="1:20" s="169" customFormat="1" ht="15" customHeight="1">
      <c r="A700" s="23"/>
      <c r="B700" s="20"/>
      <c r="C700" s="32"/>
      <c r="D700" s="585"/>
      <c r="E700" s="104"/>
      <c r="F700" s="104"/>
      <c r="G700" s="143"/>
      <c r="H700" s="584"/>
      <c r="I700" s="248"/>
      <c r="J700" s="180"/>
      <c r="K700" s="588"/>
      <c r="L700" s="588"/>
      <c r="M700" s="588"/>
      <c r="N700" s="588"/>
      <c r="O700" s="588"/>
      <c r="P700" s="588"/>
      <c r="Q700" s="588" t="s">
        <v>23</v>
      </c>
      <c r="R700" s="262">
        <f>SUM(R676,R680,R682,R685,R693,R696,R698,R684,R683)</f>
        <v>127524200</v>
      </c>
      <c r="S700" s="168">
        <f>R682+R683+R686+R687</f>
        <v>60461650</v>
      </c>
      <c r="T700" s="7">
        <f>R700-S700</f>
        <v>67062550</v>
      </c>
    </row>
    <row r="701" spans="1:20" s="169" customFormat="1" ht="15" customHeight="1">
      <c r="A701" s="497"/>
      <c r="B701" s="18"/>
      <c r="C701" s="495"/>
      <c r="D701" s="495"/>
      <c r="E701" s="187"/>
      <c r="F701" s="187"/>
      <c r="G701" s="534"/>
      <c r="H701" s="488"/>
      <c r="I701" s="16"/>
      <c r="J701" s="189"/>
      <c r="K701" s="18"/>
      <c r="L701" s="18"/>
      <c r="M701" s="971"/>
      <c r="N701" s="971"/>
      <c r="O701" s="18"/>
      <c r="P701" s="18"/>
      <c r="Q701" s="18"/>
      <c r="R701" s="263"/>
      <c r="S701" s="168"/>
      <c r="T701" s="7"/>
    </row>
    <row r="702" spans="1:20" s="169" customFormat="1" ht="15" customHeight="1">
      <c r="A702" s="496"/>
      <c r="B702" s="28"/>
      <c r="C702" s="496"/>
      <c r="D702" s="943" t="s">
        <v>1222</v>
      </c>
      <c r="E702" s="972">
        <v>0</v>
      </c>
      <c r="F702" s="972">
        <f>S709/1000</f>
        <v>0</v>
      </c>
      <c r="G702" s="933">
        <f>F702+F705-E702-E705</f>
        <v>-103.24000000000001</v>
      </c>
      <c r="H702" s="974">
        <f>G702/(E702+E705)</f>
        <v>-6.8235294117647061E-2</v>
      </c>
      <c r="I702" s="449" t="s">
        <v>969</v>
      </c>
      <c r="J702" s="156"/>
      <c r="K702" s="28"/>
      <c r="L702" s="28"/>
      <c r="M702" s="28"/>
      <c r="N702" s="28"/>
      <c r="O702" s="28"/>
      <c r="P702" s="28"/>
      <c r="Q702" s="28"/>
      <c r="R702" s="265">
        <f>R703+R704</f>
        <v>0</v>
      </c>
      <c r="S702" s="168"/>
      <c r="T702" s="7"/>
    </row>
    <row r="703" spans="1:20" s="169" customFormat="1" ht="15" customHeight="1">
      <c r="A703" s="23"/>
      <c r="B703" s="20"/>
      <c r="C703" s="23"/>
      <c r="D703" s="942"/>
      <c r="E703" s="973"/>
      <c r="F703" s="973"/>
      <c r="G703" s="935"/>
      <c r="H703" s="975"/>
      <c r="I703" s="20" t="s">
        <v>967</v>
      </c>
      <c r="J703" s="63"/>
      <c r="K703" s="20"/>
      <c r="L703" s="20"/>
      <c r="M703" s="20"/>
      <c r="N703" s="20"/>
      <c r="O703" s="20"/>
      <c r="P703" s="20"/>
      <c r="Q703" s="20"/>
      <c r="R703" s="253"/>
      <c r="S703" s="168"/>
      <c r="T703" s="7"/>
    </row>
    <row r="704" spans="1:20" s="169" customFormat="1" ht="15" customHeight="1">
      <c r="A704" s="23"/>
      <c r="B704" s="20"/>
      <c r="C704" s="23"/>
      <c r="D704" s="942"/>
      <c r="E704" s="674"/>
      <c r="F704" s="674"/>
      <c r="G704" s="935"/>
      <c r="H704" s="975"/>
      <c r="I704" s="20" t="s">
        <v>968</v>
      </c>
      <c r="J704" s="63"/>
      <c r="K704" s="20"/>
      <c r="L704" s="20"/>
      <c r="M704" s="20"/>
      <c r="N704" s="20"/>
      <c r="O704" s="20"/>
      <c r="P704" s="20"/>
      <c r="Q704" s="20"/>
      <c r="R704" s="253"/>
      <c r="S704" s="168"/>
      <c r="T704" s="7"/>
    </row>
    <row r="705" spans="1:20" s="169" customFormat="1" ht="15" customHeight="1">
      <c r="A705" s="23"/>
      <c r="B705" s="20"/>
      <c r="C705" s="23"/>
      <c r="D705" s="942"/>
      <c r="E705" s="448">
        <v>1513</v>
      </c>
      <c r="F705" s="448">
        <f>T709/1000</f>
        <v>1409.76</v>
      </c>
      <c r="G705" s="935"/>
      <c r="H705" s="975"/>
      <c r="I705" s="445" t="s">
        <v>296</v>
      </c>
      <c r="J705" s="63">
        <v>117480</v>
      </c>
      <c r="K705" s="20" t="s">
        <v>20</v>
      </c>
      <c r="L705" s="20">
        <v>12</v>
      </c>
      <c r="M705" s="20" t="s">
        <v>19</v>
      </c>
      <c r="N705" s="20"/>
      <c r="O705" s="20"/>
      <c r="P705" s="20"/>
      <c r="Q705" s="20" t="s">
        <v>22</v>
      </c>
      <c r="R705" s="68">
        <f>J705*L705</f>
        <v>1409760</v>
      </c>
      <c r="S705" s="168"/>
      <c r="T705" s="7"/>
    </row>
    <row r="706" spans="1:20" s="169" customFormat="1" ht="15" hidden="1" customHeight="1">
      <c r="A706" s="23"/>
      <c r="B706" s="20"/>
      <c r="C706" s="23"/>
      <c r="D706" s="665"/>
      <c r="E706" s="673"/>
      <c r="F706" s="673"/>
      <c r="G706" s="649"/>
      <c r="H706" s="656"/>
      <c r="I706" s="445"/>
      <c r="J706" s="63"/>
      <c r="K706" s="20"/>
      <c r="L706" s="20"/>
      <c r="M706" s="20"/>
      <c r="N706" s="20"/>
      <c r="O706" s="20"/>
      <c r="P706" s="20"/>
      <c r="Q706" s="20"/>
      <c r="R706" s="253"/>
      <c r="S706" s="168"/>
      <c r="T706" s="7"/>
    </row>
    <row r="707" spans="1:20" s="169" customFormat="1" ht="15" hidden="1" customHeight="1">
      <c r="A707" s="23"/>
      <c r="B707" s="20"/>
      <c r="C707" s="23"/>
      <c r="D707" s="665"/>
      <c r="E707" s="673"/>
      <c r="F707" s="673"/>
      <c r="G707" s="649"/>
      <c r="H707" s="656"/>
      <c r="I707" s="445"/>
      <c r="J707" s="63"/>
      <c r="K707" s="20"/>
      <c r="L707" s="20"/>
      <c r="M707" s="20"/>
      <c r="N707" s="20"/>
      <c r="O707" s="20"/>
      <c r="P707" s="20"/>
      <c r="Q707" s="20"/>
      <c r="R707" s="68"/>
      <c r="S707" s="168"/>
      <c r="T707" s="7"/>
    </row>
    <row r="708" spans="1:20" s="169" customFormat="1" ht="15" customHeight="1">
      <c r="A708" s="23"/>
      <c r="B708" s="20"/>
      <c r="C708" s="23"/>
      <c r="D708" s="665"/>
      <c r="E708" s="673"/>
      <c r="F708" s="673"/>
      <c r="G708" s="649"/>
      <c r="H708" s="656"/>
      <c r="I708" s="445"/>
      <c r="J708" s="63"/>
      <c r="K708" s="20"/>
      <c r="L708" s="20"/>
      <c r="M708" s="20"/>
      <c r="N708" s="20"/>
      <c r="O708" s="20"/>
      <c r="P708" s="20"/>
      <c r="Q708" s="20"/>
      <c r="R708" s="68"/>
      <c r="S708" s="168"/>
      <c r="T708" s="7"/>
    </row>
    <row r="709" spans="1:20" s="169" customFormat="1" ht="15" customHeight="1">
      <c r="A709" s="497"/>
      <c r="B709" s="18"/>
      <c r="C709" s="497"/>
      <c r="D709" s="493"/>
      <c r="E709" s="140"/>
      <c r="F709" s="140"/>
      <c r="G709" s="533"/>
      <c r="H709" s="521"/>
      <c r="I709" s="16"/>
      <c r="J709" s="160"/>
      <c r="K709" s="18"/>
      <c r="L709" s="18"/>
      <c r="M709" s="18"/>
      <c r="N709" s="18"/>
      <c r="O709" s="18"/>
      <c r="P709" s="18"/>
      <c r="Q709" s="18" t="s">
        <v>126</v>
      </c>
      <c r="R709" s="170">
        <f>SUM(R703:R708)</f>
        <v>1409760</v>
      </c>
      <c r="S709" s="168">
        <v>0</v>
      </c>
      <c r="T709" s="7">
        <f>R709-S709</f>
        <v>1409760</v>
      </c>
    </row>
    <row r="710" spans="1:20" s="169" customFormat="1" ht="15" customHeight="1">
      <c r="A710" s="23"/>
      <c r="B710" s="20"/>
      <c r="C710" s="23"/>
      <c r="D710" s="983" t="s">
        <v>297</v>
      </c>
      <c r="E710" s="978">
        <v>10560</v>
      </c>
      <c r="F710" s="978">
        <f>S726/1000</f>
        <v>11520</v>
      </c>
      <c r="G710" s="919">
        <f>F710+F712-E710-E712</f>
        <v>4820</v>
      </c>
      <c r="H710" s="921">
        <f>G710/(E710+E712)</f>
        <v>0.44795539033457249</v>
      </c>
      <c r="I710" s="35" t="s">
        <v>298</v>
      </c>
      <c r="J710" s="180"/>
      <c r="K710" s="202"/>
      <c r="L710" s="202"/>
      <c r="M710" s="532"/>
      <c r="N710" s="202"/>
      <c r="O710" s="202"/>
      <c r="P710" s="202"/>
      <c r="Q710" s="202"/>
      <c r="R710" s="71">
        <f>SUM(R711:R713)</f>
        <v>1170000</v>
      </c>
      <c r="S710" s="168"/>
      <c r="T710" s="7"/>
    </row>
    <row r="711" spans="1:20" s="169" customFormat="1" ht="15" customHeight="1">
      <c r="A711" s="23"/>
      <c r="B711" s="20"/>
      <c r="C711" s="23"/>
      <c r="D711" s="983"/>
      <c r="E711" s="978"/>
      <c r="F711" s="978"/>
      <c r="G711" s="919"/>
      <c r="H711" s="921"/>
      <c r="I711" s="35" t="s">
        <v>299</v>
      </c>
      <c r="J711" s="180">
        <v>13000</v>
      </c>
      <c r="K711" s="202" t="s">
        <v>50</v>
      </c>
      <c r="L711" s="21">
        <v>20</v>
      </c>
      <c r="M711" s="532" t="s">
        <v>300</v>
      </c>
      <c r="N711" s="523"/>
      <c r="O711" s="523"/>
      <c r="P711" s="523"/>
      <c r="Q711" s="202" t="s">
        <v>43</v>
      </c>
      <c r="R711" s="71">
        <f>J711*L711</f>
        <v>260000</v>
      </c>
      <c r="S711" s="168"/>
      <c r="T711" s="7"/>
    </row>
    <row r="712" spans="1:20" s="169" customFormat="1" ht="15" customHeight="1">
      <c r="A712" s="23"/>
      <c r="B712" s="20"/>
      <c r="C712" s="23"/>
      <c r="D712" s="983"/>
      <c r="E712" s="978">
        <v>200</v>
      </c>
      <c r="F712" s="978">
        <f>T726/1000</f>
        <v>4060</v>
      </c>
      <c r="G712" s="919"/>
      <c r="H712" s="921"/>
      <c r="I712" s="35" t="s">
        <v>301</v>
      </c>
      <c r="J712" s="180">
        <v>13000</v>
      </c>
      <c r="K712" s="202" t="s">
        <v>20</v>
      </c>
      <c r="L712" s="21">
        <v>30</v>
      </c>
      <c r="M712" s="532" t="s">
        <v>302</v>
      </c>
      <c r="N712" s="202"/>
      <c r="O712" s="202"/>
      <c r="P712" s="202"/>
      <c r="Q712" s="202" t="s">
        <v>22</v>
      </c>
      <c r="R712" s="71">
        <f>J712*L712</f>
        <v>390000</v>
      </c>
      <c r="S712" s="168"/>
      <c r="T712" s="7"/>
    </row>
    <row r="713" spans="1:20" s="169" customFormat="1" ht="15" customHeight="1">
      <c r="A713" s="23"/>
      <c r="B713" s="20"/>
      <c r="C713" s="23"/>
      <c r="D713" s="983"/>
      <c r="E713" s="978"/>
      <c r="F713" s="978"/>
      <c r="G713" s="919"/>
      <c r="H713" s="921"/>
      <c r="I713" s="35" t="s">
        <v>303</v>
      </c>
      <c r="J713" s="180">
        <v>13000</v>
      </c>
      <c r="K713" s="202" t="s">
        <v>20</v>
      </c>
      <c r="L713" s="21">
        <v>40</v>
      </c>
      <c r="M713" s="202" t="s">
        <v>302</v>
      </c>
      <c r="N713" s="202"/>
      <c r="O713" s="202"/>
      <c r="P713" s="202"/>
      <c r="Q713" s="202" t="s">
        <v>22</v>
      </c>
      <c r="R713" s="71">
        <f>J713*L713</f>
        <v>520000</v>
      </c>
      <c r="S713" s="168"/>
      <c r="T713" s="7"/>
    </row>
    <row r="714" spans="1:20" s="169" customFormat="1" ht="15" customHeight="1">
      <c r="A714" s="23"/>
      <c r="B714" s="20"/>
      <c r="C714" s="23"/>
      <c r="D714" s="522"/>
      <c r="E714" s="33"/>
      <c r="F714" s="33"/>
      <c r="G714" s="517"/>
      <c r="H714" s="536"/>
      <c r="I714" s="35" t="s">
        <v>304</v>
      </c>
      <c r="J714" s="180"/>
      <c r="K714" s="202"/>
      <c r="L714" s="21"/>
      <c r="M714" s="532"/>
      <c r="N714" s="532"/>
      <c r="O714" s="532"/>
      <c r="P714" s="532"/>
      <c r="Q714" s="202" t="s">
        <v>22</v>
      </c>
      <c r="R714" s="71">
        <f>SUM(R715:R716)</f>
        <v>1005000</v>
      </c>
      <c r="S714" s="168"/>
      <c r="T714" s="7"/>
    </row>
    <row r="715" spans="1:20" s="169" customFormat="1" ht="15" customHeight="1">
      <c r="A715" s="23"/>
      <c r="B715" s="20"/>
      <c r="C715" s="23"/>
      <c r="D715" s="522"/>
      <c r="E715" s="33"/>
      <c r="F715" s="33"/>
      <c r="G715" s="517"/>
      <c r="H715" s="536"/>
      <c r="I715" s="35" t="s">
        <v>305</v>
      </c>
      <c r="J715" s="180">
        <v>17000</v>
      </c>
      <c r="K715" s="202" t="s">
        <v>20</v>
      </c>
      <c r="L715" s="21">
        <v>50</v>
      </c>
      <c r="M715" s="523" t="s">
        <v>242</v>
      </c>
      <c r="N715" s="532"/>
      <c r="O715" s="532"/>
      <c r="P715" s="532"/>
      <c r="Q715" s="202" t="s">
        <v>22</v>
      </c>
      <c r="R715" s="71">
        <f>J715*L715</f>
        <v>850000</v>
      </c>
      <c r="S715" s="168"/>
      <c r="T715" s="7"/>
    </row>
    <row r="716" spans="1:20" s="169" customFormat="1" ht="15" customHeight="1">
      <c r="A716" s="23"/>
      <c r="B716" s="20"/>
      <c r="C716" s="23"/>
      <c r="D716" s="522"/>
      <c r="E716" s="33"/>
      <c r="F716" s="33"/>
      <c r="G716" s="517"/>
      <c r="H716" s="536"/>
      <c r="I716" s="35" t="s">
        <v>306</v>
      </c>
      <c r="J716" s="180">
        <v>15500</v>
      </c>
      <c r="K716" s="202" t="s">
        <v>20</v>
      </c>
      <c r="L716" s="21">
        <v>10</v>
      </c>
      <c r="M716" s="532" t="s">
        <v>242</v>
      </c>
      <c r="N716" s="202"/>
      <c r="O716" s="202"/>
      <c r="P716" s="202"/>
      <c r="Q716" s="202" t="s">
        <v>22</v>
      </c>
      <c r="R716" s="71">
        <f>J716*L716</f>
        <v>155000</v>
      </c>
      <c r="S716" s="168"/>
      <c r="T716" s="7"/>
    </row>
    <row r="717" spans="1:20" s="169" customFormat="1" ht="15" customHeight="1">
      <c r="A717" s="23"/>
      <c r="B717" s="20"/>
      <c r="C717" s="23"/>
      <c r="D717" s="522"/>
      <c r="E717" s="33"/>
      <c r="F717" s="33"/>
      <c r="G717" s="517"/>
      <c r="H717" s="536"/>
      <c r="I717" s="35" t="s">
        <v>307</v>
      </c>
      <c r="J717" s="20"/>
      <c r="K717" s="202"/>
      <c r="L717" s="21"/>
      <c r="M717" s="532"/>
      <c r="N717" s="532"/>
      <c r="O717" s="532"/>
      <c r="P717" s="532"/>
      <c r="Q717" s="202" t="s">
        <v>22</v>
      </c>
      <c r="R717" s="71">
        <f>SUM(R718:R719)</f>
        <v>1085000</v>
      </c>
      <c r="S717" s="168"/>
      <c r="T717" s="7"/>
    </row>
    <row r="718" spans="1:20" s="169" customFormat="1" ht="15" customHeight="1">
      <c r="A718" s="23"/>
      <c r="B718" s="20"/>
      <c r="C718" s="23"/>
      <c r="D718" s="522"/>
      <c r="E718" s="33"/>
      <c r="F718" s="33"/>
      <c r="G718" s="517"/>
      <c r="H718" s="536"/>
      <c r="I718" s="35" t="s">
        <v>299</v>
      </c>
      <c r="J718" s="180">
        <v>310</v>
      </c>
      <c r="K718" s="202" t="s">
        <v>20</v>
      </c>
      <c r="L718" s="21">
        <v>1000</v>
      </c>
      <c r="M718" s="532" t="s">
        <v>180</v>
      </c>
      <c r="N718" s="532"/>
      <c r="O718" s="532"/>
      <c r="P718" s="532"/>
      <c r="Q718" s="202" t="s">
        <v>22</v>
      </c>
      <c r="R718" s="71">
        <f>J718*L718</f>
        <v>310000</v>
      </c>
      <c r="S718" s="168"/>
      <c r="T718" s="7"/>
    </row>
    <row r="719" spans="1:20" s="169" customFormat="1" ht="15" customHeight="1">
      <c r="A719" s="23"/>
      <c r="B719" s="20"/>
      <c r="C719" s="23"/>
      <c r="D719" s="522"/>
      <c r="E719" s="33"/>
      <c r="F719" s="33"/>
      <c r="G719" s="517"/>
      <c r="H719" s="536"/>
      <c r="I719" s="35" t="s">
        <v>308</v>
      </c>
      <c r="J719" s="180">
        <v>310</v>
      </c>
      <c r="K719" s="202" t="s">
        <v>20</v>
      </c>
      <c r="L719" s="21">
        <v>2500</v>
      </c>
      <c r="M719" s="532" t="s">
        <v>180</v>
      </c>
      <c r="N719" s="532"/>
      <c r="O719" s="532"/>
      <c r="P719" s="532"/>
      <c r="Q719" s="202" t="s">
        <v>22</v>
      </c>
      <c r="R719" s="71">
        <f>J719*L719</f>
        <v>775000</v>
      </c>
      <c r="S719" s="168"/>
      <c r="T719" s="7"/>
    </row>
    <row r="720" spans="1:20" s="169" customFormat="1" ht="15" customHeight="1">
      <c r="A720" s="23"/>
      <c r="B720" s="20"/>
      <c r="C720" s="23"/>
      <c r="D720" s="522"/>
      <c r="E720" s="33"/>
      <c r="F720" s="33"/>
      <c r="G720" s="517"/>
      <c r="H720" s="536"/>
      <c r="I720" s="35" t="s">
        <v>309</v>
      </c>
      <c r="J720" s="180">
        <v>150</v>
      </c>
      <c r="K720" s="202" t="s">
        <v>20</v>
      </c>
      <c r="L720" s="21">
        <v>2000</v>
      </c>
      <c r="M720" s="532" t="s">
        <v>180</v>
      </c>
      <c r="N720" s="532"/>
      <c r="O720" s="532"/>
      <c r="P720" s="532"/>
      <c r="Q720" s="202" t="s">
        <v>22</v>
      </c>
      <c r="R720" s="71">
        <f>J720*L720</f>
        <v>300000</v>
      </c>
      <c r="S720" s="168"/>
      <c r="T720" s="7"/>
    </row>
    <row r="721" spans="1:20" s="169" customFormat="1" ht="15" customHeight="1">
      <c r="A721" s="23"/>
      <c r="B721" s="20"/>
      <c r="C721" s="23"/>
      <c r="D721" s="522"/>
      <c r="E721" s="33"/>
      <c r="F721" s="33"/>
      <c r="G721" s="517"/>
      <c r="H721" s="536"/>
      <c r="I721" s="35" t="s">
        <v>310</v>
      </c>
      <c r="J721" s="180">
        <v>100</v>
      </c>
      <c r="K721" s="202" t="s">
        <v>20</v>
      </c>
      <c r="L721" s="21">
        <v>1000</v>
      </c>
      <c r="M721" s="532" t="s">
        <v>180</v>
      </c>
      <c r="N721" s="532"/>
      <c r="O721" s="532"/>
      <c r="P721" s="532"/>
      <c r="Q721" s="202" t="s">
        <v>22</v>
      </c>
      <c r="R721" s="71">
        <f>J721*L721</f>
        <v>100000</v>
      </c>
      <c r="S721" s="168"/>
      <c r="T721" s="7"/>
    </row>
    <row r="722" spans="1:20" s="169" customFormat="1" ht="15" customHeight="1">
      <c r="A722" s="23"/>
      <c r="B722" s="20"/>
      <c r="C722" s="23"/>
      <c r="D722" s="522"/>
      <c r="E722" s="33"/>
      <c r="F722" s="33"/>
      <c r="G722" s="517"/>
      <c r="H722" s="536"/>
      <c r="I722" s="35" t="s">
        <v>737</v>
      </c>
      <c r="J722" s="180">
        <v>100000</v>
      </c>
      <c r="K722" s="202" t="s">
        <v>20</v>
      </c>
      <c r="L722" s="21">
        <v>2</v>
      </c>
      <c r="M722" s="532" t="s">
        <v>25</v>
      </c>
      <c r="N722" s="532"/>
      <c r="O722" s="532"/>
      <c r="P722" s="532"/>
      <c r="Q722" s="202" t="s">
        <v>22</v>
      </c>
      <c r="R722" s="71">
        <f>J722*L722</f>
        <v>200000</v>
      </c>
      <c r="S722" s="168"/>
      <c r="T722" s="7"/>
    </row>
    <row r="723" spans="1:20" s="169" customFormat="1" ht="15" customHeight="1">
      <c r="A723" s="23"/>
      <c r="B723" s="20"/>
      <c r="C723" s="23"/>
      <c r="D723" s="522"/>
      <c r="E723" s="33"/>
      <c r="F723" s="33"/>
      <c r="G723" s="517"/>
      <c r="H723" s="536"/>
      <c r="I723" s="31" t="s">
        <v>311</v>
      </c>
      <c r="J723" s="180">
        <v>100000</v>
      </c>
      <c r="K723" s="202" t="s">
        <v>20</v>
      </c>
      <c r="L723" s="21">
        <v>2</v>
      </c>
      <c r="M723" s="532" t="s">
        <v>21</v>
      </c>
      <c r="N723" s="532" t="s">
        <v>20</v>
      </c>
      <c r="O723" s="532" t="s">
        <v>247</v>
      </c>
      <c r="P723" s="532" t="s">
        <v>82</v>
      </c>
      <c r="Q723" s="202" t="s">
        <v>22</v>
      </c>
      <c r="R723" s="71">
        <f>J723*L723*O723</f>
        <v>200000</v>
      </c>
      <c r="S723" s="168"/>
      <c r="T723" s="7"/>
    </row>
    <row r="724" spans="1:20" s="169" customFormat="1" ht="15" customHeight="1">
      <c r="A724" s="23"/>
      <c r="B724" s="20"/>
      <c r="C724" s="23"/>
      <c r="D724" s="522"/>
      <c r="E724" s="33"/>
      <c r="F724" s="33"/>
      <c r="G724" s="517"/>
      <c r="H724" s="536"/>
      <c r="I724" s="175" t="s">
        <v>312</v>
      </c>
      <c r="J724" s="207">
        <v>24000</v>
      </c>
      <c r="K724" s="113" t="s">
        <v>20</v>
      </c>
      <c r="L724" s="113">
        <v>40</v>
      </c>
      <c r="M724" s="485" t="s">
        <v>284</v>
      </c>
      <c r="N724" s="485" t="s">
        <v>20</v>
      </c>
      <c r="O724" s="485" t="s">
        <v>229</v>
      </c>
      <c r="P724" s="485" t="s">
        <v>19</v>
      </c>
      <c r="Q724" s="113" t="s">
        <v>22</v>
      </c>
      <c r="R724" s="666">
        <f>J724*L724*O724</f>
        <v>11520000</v>
      </c>
      <c r="S724" s="168"/>
      <c r="T724" s="7"/>
    </row>
    <row r="725" spans="1:20" s="169" customFormat="1" ht="15" customHeight="1">
      <c r="A725" s="23"/>
      <c r="B725" s="20"/>
      <c r="C725" s="23"/>
      <c r="D725" s="522"/>
      <c r="E725" s="33"/>
      <c r="F725" s="33"/>
      <c r="G725" s="517"/>
      <c r="H725" s="536"/>
      <c r="I725" s="35"/>
      <c r="J725" s="254"/>
      <c r="K725" s="659"/>
      <c r="L725" s="659"/>
      <c r="M725" s="659"/>
      <c r="N725" s="202"/>
      <c r="O725" s="659"/>
      <c r="P725" s="659"/>
      <c r="Q725" s="659"/>
      <c r="R725" s="87"/>
      <c r="S725" s="168"/>
      <c r="T725" s="7"/>
    </row>
    <row r="726" spans="1:20" s="169" customFormat="1" ht="15" customHeight="1">
      <c r="A726" s="23"/>
      <c r="B726" s="20"/>
      <c r="C726" s="23"/>
      <c r="D726" s="493"/>
      <c r="E726" s="140"/>
      <c r="F726" s="140"/>
      <c r="G726" s="533"/>
      <c r="H726" s="266"/>
      <c r="I726" s="267"/>
      <c r="J726" s="268"/>
      <c r="K726" s="222"/>
      <c r="L726" s="222"/>
      <c r="M726" s="222"/>
      <c r="N726" s="222"/>
      <c r="O726" s="222"/>
      <c r="P726" s="222"/>
      <c r="Q726" s="18" t="s">
        <v>23</v>
      </c>
      <c r="R726" s="213">
        <f>R710+R714+R717+R720+R721+R722+R723+R724</f>
        <v>15580000</v>
      </c>
      <c r="S726" s="168">
        <f>R724</f>
        <v>11520000</v>
      </c>
      <c r="T726" s="7">
        <f>R726-S726</f>
        <v>4060000</v>
      </c>
    </row>
    <row r="727" spans="1:20" s="169" customFormat="1" ht="15" customHeight="1">
      <c r="A727" s="23"/>
      <c r="B727" s="22"/>
      <c r="C727" s="487"/>
      <c r="D727" s="942" t="s">
        <v>313</v>
      </c>
      <c r="E727" s="981">
        <v>0</v>
      </c>
      <c r="F727" s="981">
        <f>S730/1000</f>
        <v>0</v>
      </c>
      <c r="G727" s="935">
        <f>F727+F729-E727-E729</f>
        <v>-6900</v>
      </c>
      <c r="H727" s="980">
        <f>G727/(E727+E729)</f>
        <v>-0.35567010309278352</v>
      </c>
      <c r="I727" s="218" t="s">
        <v>314</v>
      </c>
      <c r="J727" s="180">
        <v>12000</v>
      </c>
      <c r="K727" s="202" t="s">
        <v>20</v>
      </c>
      <c r="L727" s="60">
        <v>100</v>
      </c>
      <c r="M727" s="532" t="s">
        <v>242</v>
      </c>
      <c r="N727" s="532" t="s">
        <v>20</v>
      </c>
      <c r="O727" s="60">
        <v>10</v>
      </c>
      <c r="P727" s="532" t="s">
        <v>315</v>
      </c>
      <c r="Q727" s="202" t="s">
        <v>43</v>
      </c>
      <c r="R727" s="98">
        <f>J727*L727*O727</f>
        <v>12000000</v>
      </c>
      <c r="S727" s="168"/>
      <c r="T727" s="7"/>
    </row>
    <row r="728" spans="1:20" s="169" customFormat="1" ht="15" customHeight="1">
      <c r="A728" s="23"/>
      <c r="B728" s="22"/>
      <c r="C728" s="487"/>
      <c r="D728" s="942"/>
      <c r="E728" s="982"/>
      <c r="F728" s="982"/>
      <c r="G728" s="935"/>
      <c r="H728" s="980"/>
      <c r="I728" s="218" t="s">
        <v>858</v>
      </c>
      <c r="J728" s="180">
        <v>500000</v>
      </c>
      <c r="K728" s="202" t="s">
        <v>20</v>
      </c>
      <c r="L728" s="60">
        <v>1</v>
      </c>
      <c r="M728" s="532" t="s">
        <v>25</v>
      </c>
      <c r="N728" s="532" t="s">
        <v>20</v>
      </c>
      <c r="O728" s="60">
        <v>1</v>
      </c>
      <c r="P728" s="532" t="s">
        <v>315</v>
      </c>
      <c r="Q728" s="202" t="s">
        <v>43</v>
      </c>
      <c r="R728" s="98">
        <f>J728*L728*O728</f>
        <v>500000</v>
      </c>
      <c r="S728" s="168"/>
      <c r="T728" s="7"/>
    </row>
    <row r="729" spans="1:20" s="169" customFormat="1" ht="15" customHeight="1">
      <c r="A729" s="23"/>
      <c r="B729" s="20"/>
      <c r="C729" s="487"/>
      <c r="D729" s="942"/>
      <c r="E729" s="925">
        <v>19400</v>
      </c>
      <c r="F729" s="925">
        <f>T730/1000</f>
        <v>12500</v>
      </c>
      <c r="G729" s="935"/>
      <c r="H729" s="980"/>
      <c r="I729" s="218"/>
      <c r="J729" s="21"/>
      <c r="K729" s="202"/>
      <c r="L729" s="127"/>
      <c r="M729" s="202"/>
      <c r="N729" s="202"/>
      <c r="O729" s="127"/>
      <c r="P729" s="202"/>
      <c r="Q729" s="532"/>
      <c r="R729" s="171"/>
      <c r="S729" s="168"/>
      <c r="T729" s="7"/>
    </row>
    <row r="730" spans="1:20" s="169" customFormat="1" ht="15" customHeight="1">
      <c r="A730" s="23"/>
      <c r="B730" s="20"/>
      <c r="C730" s="23"/>
      <c r="D730" s="664"/>
      <c r="E730" s="932"/>
      <c r="F730" s="932"/>
      <c r="G730" s="269"/>
      <c r="H730" s="270"/>
      <c r="I730" s="271"/>
      <c r="J730" s="189"/>
      <c r="K730" s="222"/>
      <c r="L730" s="222"/>
      <c r="M730" s="222"/>
      <c r="N730" s="222"/>
      <c r="O730" s="222"/>
      <c r="P730" s="222"/>
      <c r="Q730" s="534" t="s">
        <v>23</v>
      </c>
      <c r="R730" s="170">
        <f>SUM(R727,R728,R7349)</f>
        <v>12500000</v>
      </c>
      <c r="S730" s="168">
        <v>0</v>
      </c>
      <c r="T730" s="7">
        <f>R730-S730</f>
        <v>12500000</v>
      </c>
    </row>
    <row r="731" spans="1:20" s="169" customFormat="1" ht="15" customHeight="1">
      <c r="A731" s="23"/>
      <c r="B731" s="20"/>
      <c r="C731" s="23"/>
      <c r="D731" s="943" t="s">
        <v>316</v>
      </c>
      <c r="E731" s="988">
        <v>0</v>
      </c>
      <c r="F731" s="988">
        <f>S744/1000</f>
        <v>0</v>
      </c>
      <c r="G731" s="933">
        <f>F731+F733-E731-E733</f>
        <v>-5177.3300000000017</v>
      </c>
      <c r="H731" s="962">
        <f>G731/(E731+E733)</f>
        <v>-5.9530752337039652E-2</v>
      </c>
      <c r="I731" s="446" t="s">
        <v>317</v>
      </c>
      <c r="J731" s="272"/>
      <c r="K731" s="239"/>
      <c r="L731" s="239"/>
      <c r="M731" s="239"/>
      <c r="N731" s="239"/>
      <c r="O731" s="239"/>
      <c r="P731" s="239"/>
      <c r="Q731" s="239"/>
      <c r="R731" s="273">
        <f>SUM(R732)</f>
        <v>12000000</v>
      </c>
      <c r="S731" s="168"/>
      <c r="T731" s="7"/>
    </row>
    <row r="732" spans="1:20" s="169" customFormat="1" ht="15" customHeight="1">
      <c r="A732" s="23"/>
      <c r="B732" s="20"/>
      <c r="C732" s="23"/>
      <c r="D732" s="942"/>
      <c r="E732" s="989"/>
      <c r="F732" s="989"/>
      <c r="G732" s="935"/>
      <c r="H732" s="964"/>
      <c r="I732" s="35" t="s">
        <v>1223</v>
      </c>
      <c r="J732" s="67">
        <v>300000</v>
      </c>
      <c r="K732" s="532" t="s">
        <v>15</v>
      </c>
      <c r="L732" s="784" t="s">
        <v>1242</v>
      </c>
      <c r="M732" s="532" t="s">
        <v>59</v>
      </c>
      <c r="N732" s="532"/>
      <c r="O732" s="532"/>
      <c r="P732" s="532"/>
      <c r="Q732" s="532" t="s">
        <v>18</v>
      </c>
      <c r="R732" s="71">
        <f>J732*L732</f>
        <v>12000000</v>
      </c>
      <c r="S732" s="168"/>
      <c r="T732" s="7"/>
    </row>
    <row r="733" spans="1:20" s="169" customFormat="1" ht="15" customHeight="1">
      <c r="A733" s="23"/>
      <c r="B733" s="20"/>
      <c r="C733" s="23"/>
      <c r="D733" s="942"/>
      <c r="E733" s="988">
        <v>86969</v>
      </c>
      <c r="F733" s="988">
        <f>T744/1000</f>
        <v>81791.67</v>
      </c>
      <c r="G733" s="935"/>
      <c r="H733" s="964"/>
      <c r="I733" s="445" t="s">
        <v>639</v>
      </c>
      <c r="J733" s="67">
        <v>90767</v>
      </c>
      <c r="K733" s="532" t="s">
        <v>15</v>
      </c>
      <c r="L733" s="532" t="s">
        <v>290</v>
      </c>
      <c r="M733" s="532" t="s">
        <v>640</v>
      </c>
      <c r="N733" s="532"/>
      <c r="O733" s="532"/>
      <c r="P733" s="532"/>
      <c r="Q733" s="532"/>
      <c r="R733" s="71">
        <f>J733*L733</f>
        <v>907670</v>
      </c>
      <c r="S733" s="168"/>
      <c r="T733" s="7"/>
    </row>
    <row r="734" spans="1:20" s="169" customFormat="1" ht="15" customHeight="1">
      <c r="A734" s="23"/>
      <c r="B734" s="20"/>
      <c r="C734" s="23"/>
      <c r="D734" s="942"/>
      <c r="E734" s="990"/>
      <c r="F734" s="990"/>
      <c r="G734" s="935"/>
      <c r="H734" s="964"/>
      <c r="I734" s="445" t="s">
        <v>641</v>
      </c>
      <c r="J734" s="67">
        <v>5500</v>
      </c>
      <c r="K734" s="532" t="s">
        <v>15</v>
      </c>
      <c r="L734" s="532" t="s">
        <v>642</v>
      </c>
      <c r="M734" s="532" t="s">
        <v>17</v>
      </c>
      <c r="N734" s="532" t="s">
        <v>856</v>
      </c>
      <c r="O734" s="784" t="s">
        <v>1243</v>
      </c>
      <c r="P734" s="756" t="s">
        <v>1203</v>
      </c>
      <c r="Q734" s="532" t="s">
        <v>18</v>
      </c>
      <c r="R734" s="71">
        <f>J734*L734*O734</f>
        <v>5280000</v>
      </c>
      <c r="S734" s="168"/>
      <c r="T734" s="7"/>
    </row>
    <row r="735" spans="1:20" s="169" customFormat="1" ht="15" customHeight="1">
      <c r="A735" s="23"/>
      <c r="B735" s="20"/>
      <c r="C735" s="23"/>
      <c r="D735" s="942"/>
      <c r="E735" s="990"/>
      <c r="F735" s="990"/>
      <c r="G735" s="935"/>
      <c r="H735" s="964"/>
      <c r="I735" s="445"/>
      <c r="J735" s="67">
        <v>4000</v>
      </c>
      <c r="K735" s="756" t="s">
        <v>15</v>
      </c>
      <c r="L735" s="756" t="s">
        <v>1201</v>
      </c>
      <c r="M735" s="756" t="s">
        <v>1202</v>
      </c>
      <c r="N735" s="756" t="s">
        <v>847</v>
      </c>
      <c r="O735" s="756" t="s">
        <v>1204</v>
      </c>
      <c r="P735" s="756" t="s">
        <v>1203</v>
      </c>
      <c r="Q735" s="756" t="s">
        <v>18</v>
      </c>
      <c r="R735" s="71">
        <f>J735*L735*O735</f>
        <v>1200000</v>
      </c>
      <c r="S735" s="168"/>
      <c r="T735" s="7"/>
    </row>
    <row r="736" spans="1:20" s="169" customFormat="1" ht="15" customHeight="1">
      <c r="A736" s="23"/>
      <c r="B736" s="20"/>
      <c r="C736" s="23"/>
      <c r="D736" s="942"/>
      <c r="E736" s="990"/>
      <c r="F736" s="990"/>
      <c r="G736" s="935"/>
      <c r="H736" s="964"/>
      <c r="I736" s="445" t="s">
        <v>643</v>
      </c>
      <c r="J736" s="67">
        <v>100000</v>
      </c>
      <c r="K736" s="532" t="s">
        <v>15</v>
      </c>
      <c r="L736" s="532" t="s">
        <v>642</v>
      </c>
      <c r="M736" s="532" t="s">
        <v>17</v>
      </c>
      <c r="N736" s="532"/>
      <c r="O736" s="532"/>
      <c r="P736" s="532"/>
      <c r="Q736" s="532" t="s">
        <v>18</v>
      </c>
      <c r="R736" s="71">
        <f>J736*L736</f>
        <v>1200000</v>
      </c>
      <c r="S736" s="168"/>
      <c r="T736" s="7"/>
    </row>
    <row r="737" spans="1:20" s="169" customFormat="1" ht="15" customHeight="1">
      <c r="A737" s="23"/>
      <c r="B737" s="20"/>
      <c r="C737" s="23"/>
      <c r="D737" s="942"/>
      <c r="E737" s="990"/>
      <c r="F737" s="990"/>
      <c r="G737" s="935"/>
      <c r="H737" s="964"/>
      <c r="I737" s="445" t="s">
        <v>645</v>
      </c>
      <c r="J737" s="67"/>
      <c r="K737" s="532"/>
      <c r="L737" s="532"/>
      <c r="M737" s="532"/>
      <c r="N737" s="532"/>
      <c r="O737" s="532"/>
      <c r="P737" s="532"/>
      <c r="Q737" s="532"/>
      <c r="R737" s="71">
        <f>SUM(R738:R739)</f>
        <v>61204000</v>
      </c>
      <c r="S737" s="168"/>
      <c r="T737" s="7"/>
    </row>
    <row r="738" spans="1:20" s="169" customFormat="1" ht="15" customHeight="1">
      <c r="A738" s="23"/>
      <c r="B738" s="20"/>
      <c r="C738" s="23"/>
      <c r="D738" s="942"/>
      <c r="E738" s="990"/>
      <c r="F738" s="990"/>
      <c r="G738" s="935"/>
      <c r="H738" s="964"/>
      <c r="I738" s="35" t="s">
        <v>647</v>
      </c>
      <c r="J738" s="200">
        <v>88000</v>
      </c>
      <c r="K738" s="20" t="s">
        <v>15</v>
      </c>
      <c r="L738" s="20">
        <v>10</v>
      </c>
      <c r="M738" s="20" t="s">
        <v>646</v>
      </c>
      <c r="N738" s="20" t="s">
        <v>15</v>
      </c>
      <c r="O738" s="20">
        <v>52</v>
      </c>
      <c r="P738" s="20" t="s">
        <v>152</v>
      </c>
      <c r="Q738" s="20" t="s">
        <v>18</v>
      </c>
      <c r="R738" s="64">
        <f>J738*L738*O738</f>
        <v>45760000</v>
      </c>
      <c r="S738" s="168"/>
      <c r="T738" s="7"/>
    </row>
    <row r="739" spans="1:20" s="169" customFormat="1" ht="15" customHeight="1">
      <c r="A739" s="23"/>
      <c r="B739" s="20"/>
      <c r="C739" s="23"/>
      <c r="D739" s="942"/>
      <c r="E739" s="990"/>
      <c r="F739" s="990"/>
      <c r="G739" s="935"/>
      <c r="H739" s="964"/>
      <c r="I739" s="35" t="s">
        <v>648</v>
      </c>
      <c r="J739" s="200">
        <v>29700</v>
      </c>
      <c r="K739" s="20" t="s">
        <v>15</v>
      </c>
      <c r="L739" s="20">
        <v>10</v>
      </c>
      <c r="M739" s="20" t="s">
        <v>646</v>
      </c>
      <c r="N739" s="20" t="s">
        <v>20</v>
      </c>
      <c r="O739" s="20">
        <v>52</v>
      </c>
      <c r="P739" s="20" t="s">
        <v>152</v>
      </c>
      <c r="Q739" s="20" t="s">
        <v>18</v>
      </c>
      <c r="R739" s="64">
        <f>J739*L739*O739</f>
        <v>15444000</v>
      </c>
      <c r="S739" s="168"/>
      <c r="T739" s="7"/>
    </row>
    <row r="740" spans="1:20" s="169" customFormat="1" ht="15" hidden="1" customHeight="1">
      <c r="A740" s="23"/>
      <c r="B740" s="20"/>
      <c r="C740" s="23"/>
      <c r="D740" s="942"/>
      <c r="E740" s="990"/>
      <c r="F740" s="990"/>
      <c r="G740" s="935"/>
      <c r="H740" s="964"/>
      <c r="I740" s="35" t="s">
        <v>650</v>
      </c>
      <c r="J740" s="67">
        <v>200000</v>
      </c>
      <c r="K740" s="532" t="s">
        <v>15</v>
      </c>
      <c r="L740" s="532" t="s">
        <v>857</v>
      </c>
      <c r="M740" s="532" t="s">
        <v>644</v>
      </c>
      <c r="N740" s="532"/>
      <c r="O740" s="532"/>
      <c r="P740" s="532"/>
      <c r="Q740" s="532" t="s">
        <v>18</v>
      </c>
      <c r="R740" s="71">
        <f>J740*L740</f>
        <v>0</v>
      </c>
      <c r="S740" s="168"/>
      <c r="T740" s="7"/>
    </row>
    <row r="741" spans="1:20" s="169" customFormat="1" ht="15" hidden="1" customHeight="1">
      <c r="A741" s="23"/>
      <c r="B741" s="20"/>
      <c r="C741" s="23"/>
      <c r="D741" s="942"/>
      <c r="E741" s="990"/>
      <c r="F741" s="990"/>
      <c r="G741" s="935"/>
      <c r="H741" s="964"/>
      <c r="I741" s="35" t="s">
        <v>651</v>
      </c>
      <c r="J741" s="67">
        <v>200000</v>
      </c>
      <c r="K741" s="532" t="s">
        <v>15</v>
      </c>
      <c r="L741" s="532" t="s">
        <v>857</v>
      </c>
      <c r="M741" s="532" t="s">
        <v>59</v>
      </c>
      <c r="N741" s="532"/>
      <c r="O741" s="532"/>
      <c r="P741" s="532"/>
      <c r="Q741" s="532"/>
      <c r="R741" s="71">
        <f>J741*L741</f>
        <v>0</v>
      </c>
      <c r="S741" s="168"/>
      <c r="T741" s="7"/>
    </row>
    <row r="742" spans="1:20" s="169" customFormat="1" ht="15" hidden="1" customHeight="1">
      <c r="A742" s="23"/>
      <c r="B742" s="20"/>
      <c r="C742" s="23"/>
      <c r="D742" s="942"/>
      <c r="E742" s="990"/>
      <c r="F742" s="990"/>
      <c r="G742" s="935"/>
      <c r="H742" s="964"/>
      <c r="I742" s="35" t="s">
        <v>652</v>
      </c>
      <c r="J742" s="67">
        <v>50000</v>
      </c>
      <c r="K742" s="532" t="s">
        <v>15</v>
      </c>
      <c r="L742" s="532" t="s">
        <v>857</v>
      </c>
      <c r="M742" s="532" t="s">
        <v>59</v>
      </c>
      <c r="N742" s="532"/>
      <c r="O742" s="532"/>
      <c r="P742" s="532"/>
      <c r="Q742" s="532"/>
      <c r="R742" s="71">
        <f>J742*L742</f>
        <v>0</v>
      </c>
      <c r="S742" s="168"/>
      <c r="T742" s="7"/>
    </row>
    <row r="743" spans="1:20" s="169" customFormat="1" ht="15" customHeight="1">
      <c r="A743" s="23"/>
      <c r="B743" s="20"/>
      <c r="C743" s="23"/>
      <c r="D743" s="942"/>
      <c r="E743" s="990"/>
      <c r="F743" s="990"/>
      <c r="G743" s="935"/>
      <c r="H743" s="964"/>
      <c r="I743" s="35"/>
      <c r="J743" s="67"/>
      <c r="K743" s="532"/>
      <c r="L743" s="532"/>
      <c r="M743" s="532"/>
      <c r="N743" s="532"/>
      <c r="O743" s="532"/>
      <c r="P743" s="532"/>
      <c r="Q743" s="532"/>
      <c r="R743" s="71"/>
      <c r="S743" s="168"/>
      <c r="T743" s="7"/>
    </row>
    <row r="744" spans="1:20" s="169" customFormat="1" ht="15" customHeight="1">
      <c r="A744" s="23"/>
      <c r="B744" s="20"/>
      <c r="C744" s="23"/>
      <c r="D744" s="277"/>
      <c r="E744" s="278"/>
      <c r="F744" s="278"/>
      <c r="G744" s="279"/>
      <c r="H744" s="521"/>
      <c r="I744" s="16"/>
      <c r="J744" s="280"/>
      <c r="K744" s="246"/>
      <c r="L744" s="246"/>
      <c r="M744" s="246"/>
      <c r="N744" s="246"/>
      <c r="O744" s="246"/>
      <c r="P744" s="246"/>
      <c r="Q744" s="222" t="s">
        <v>126</v>
      </c>
      <c r="R744" s="187">
        <f>SUM(R731,R733,R734,R736,R737,R735)</f>
        <v>81791670</v>
      </c>
      <c r="S744" s="168">
        <v>0</v>
      </c>
      <c r="T744" s="7">
        <f>R744-S744</f>
        <v>81791670</v>
      </c>
    </row>
    <row r="745" spans="1:20" s="169" customFormat="1" ht="15" hidden="1" customHeight="1">
      <c r="A745" s="23"/>
      <c r="B745" s="22"/>
      <c r="C745" s="487"/>
      <c r="D745" s="976" t="s">
        <v>318</v>
      </c>
      <c r="E745" s="985">
        <v>0</v>
      </c>
      <c r="F745" s="985">
        <f>S751/1000</f>
        <v>0</v>
      </c>
      <c r="G745" s="933">
        <f>F745+F747-E745-E747</f>
        <v>0</v>
      </c>
      <c r="H745" s="986" t="e">
        <f>G745/(E745+E747)</f>
        <v>#DIV/0!</v>
      </c>
      <c r="I745" s="218" t="s">
        <v>319</v>
      </c>
      <c r="J745" s="638">
        <v>62112</v>
      </c>
      <c r="K745" s="637" t="s">
        <v>381</v>
      </c>
      <c r="L745" s="637">
        <v>0</v>
      </c>
      <c r="M745" s="637" t="s">
        <v>260</v>
      </c>
      <c r="N745" s="637"/>
      <c r="O745" s="637"/>
      <c r="P745" s="637"/>
      <c r="Q745" s="637" t="s">
        <v>22</v>
      </c>
      <c r="R745" s="281">
        <f>J745*L745</f>
        <v>0</v>
      </c>
      <c r="S745" s="168"/>
      <c r="T745" s="7"/>
    </row>
    <row r="746" spans="1:20" s="169" customFormat="1" ht="15" hidden="1" customHeight="1">
      <c r="A746" s="23"/>
      <c r="B746" s="22"/>
      <c r="C746" s="487"/>
      <c r="D746" s="977"/>
      <c r="E746" s="982"/>
      <c r="F746" s="982"/>
      <c r="G746" s="935"/>
      <c r="H746" s="987"/>
      <c r="I746" s="218" t="s">
        <v>745</v>
      </c>
      <c r="J746" s="638">
        <v>137222</v>
      </c>
      <c r="K746" s="637" t="s">
        <v>20</v>
      </c>
      <c r="L746" s="637">
        <v>0</v>
      </c>
      <c r="M746" s="637" t="s">
        <v>242</v>
      </c>
      <c r="N746" s="637"/>
      <c r="O746" s="637"/>
      <c r="P746" s="637"/>
      <c r="Q746" s="637" t="s">
        <v>22</v>
      </c>
      <c r="R746" s="281">
        <f>J746*L746</f>
        <v>0</v>
      </c>
      <c r="S746" s="168"/>
      <c r="T746" s="7"/>
    </row>
    <row r="747" spans="1:20" s="169" customFormat="1" ht="15" hidden="1" customHeight="1">
      <c r="A747" s="23"/>
      <c r="B747" s="20"/>
      <c r="C747" s="487"/>
      <c r="D747" s="977"/>
      <c r="E747" s="925">
        <v>0</v>
      </c>
      <c r="F747" s="925">
        <f>T751/1000</f>
        <v>0</v>
      </c>
      <c r="G747" s="935"/>
      <c r="H747" s="987"/>
      <c r="I747" s="218" t="s">
        <v>314</v>
      </c>
      <c r="J747" s="638">
        <v>1501560</v>
      </c>
      <c r="K747" s="637" t="s">
        <v>20</v>
      </c>
      <c r="L747" s="637">
        <v>0</v>
      </c>
      <c r="M747" s="637" t="s">
        <v>242</v>
      </c>
      <c r="N747" s="637"/>
      <c r="O747" s="637"/>
      <c r="P747" s="637"/>
      <c r="Q747" s="637" t="s">
        <v>22</v>
      </c>
      <c r="R747" s="281">
        <f>J747*L747</f>
        <v>0</v>
      </c>
      <c r="S747" s="168"/>
      <c r="T747" s="7"/>
    </row>
    <row r="748" spans="1:20" s="169" customFormat="1" ht="15" hidden="1" customHeight="1">
      <c r="A748" s="23"/>
      <c r="B748" s="20"/>
      <c r="C748" s="487"/>
      <c r="D748" s="977"/>
      <c r="E748" s="926"/>
      <c r="F748" s="926"/>
      <c r="G748" s="935"/>
      <c r="H748" s="987"/>
      <c r="I748" s="218" t="s">
        <v>746</v>
      </c>
      <c r="J748" s="638">
        <v>3500</v>
      </c>
      <c r="K748" s="637" t="s">
        <v>20</v>
      </c>
      <c r="L748" s="637">
        <v>0</v>
      </c>
      <c r="M748" s="637" t="s">
        <v>180</v>
      </c>
      <c r="N748" s="637"/>
      <c r="O748" s="637"/>
      <c r="P748" s="637"/>
      <c r="Q748" s="637" t="s">
        <v>22</v>
      </c>
      <c r="R748" s="281">
        <f>J748*L748</f>
        <v>0</v>
      </c>
      <c r="S748" s="168"/>
      <c r="T748" s="7"/>
    </row>
    <row r="749" spans="1:20" s="169" customFormat="1" ht="15" hidden="1" customHeight="1">
      <c r="A749" s="23"/>
      <c r="B749" s="20"/>
      <c r="C749" s="487"/>
      <c r="D749" s="977"/>
      <c r="E749" s="926"/>
      <c r="F749" s="926"/>
      <c r="G749" s="935"/>
      <c r="H749" s="987"/>
      <c r="I749" s="248" t="s">
        <v>167</v>
      </c>
      <c r="J749" s="638">
        <v>11000</v>
      </c>
      <c r="K749" s="637" t="s">
        <v>20</v>
      </c>
      <c r="L749" s="637">
        <v>0</v>
      </c>
      <c r="M749" s="637" t="s">
        <v>21</v>
      </c>
      <c r="N749" s="637"/>
      <c r="O749" s="637"/>
      <c r="P749" s="637"/>
      <c r="Q749" s="637"/>
      <c r="R749" s="281">
        <f>J749*L749</f>
        <v>0</v>
      </c>
      <c r="S749" s="168"/>
      <c r="T749" s="7"/>
    </row>
    <row r="750" spans="1:20" s="169" customFormat="1" ht="15" hidden="1" customHeight="1">
      <c r="A750" s="23"/>
      <c r="B750" s="20"/>
      <c r="C750" s="487"/>
      <c r="D750" s="977"/>
      <c r="E750" s="926"/>
      <c r="F750" s="926"/>
      <c r="G750" s="506"/>
      <c r="H750" s="507"/>
      <c r="I750" s="248" t="s">
        <v>748</v>
      </c>
      <c r="J750" s="637"/>
      <c r="K750" s="637"/>
      <c r="L750" s="637"/>
      <c r="M750" s="637"/>
      <c r="N750" s="637"/>
      <c r="O750" s="637"/>
      <c r="P750" s="637"/>
      <c r="Q750" s="637"/>
      <c r="R750" s="282"/>
      <c r="S750" s="168"/>
      <c r="T750" s="7"/>
    </row>
    <row r="751" spans="1:20" s="169" customFormat="1" ht="15" hidden="1" customHeight="1">
      <c r="A751" s="23"/>
      <c r="B751" s="20"/>
      <c r="C751" s="487"/>
      <c r="D751" s="984"/>
      <c r="E751" s="932"/>
      <c r="F751" s="932"/>
      <c r="G751" s="533"/>
      <c r="H751" s="283"/>
      <c r="I751" s="284"/>
      <c r="J751" s="196"/>
      <c r="K751" s="196"/>
      <c r="L751" s="196"/>
      <c r="M751" s="196"/>
      <c r="N751" s="196"/>
      <c r="O751" s="196"/>
      <c r="P751" s="196"/>
      <c r="Q751" s="222" t="s">
        <v>11</v>
      </c>
      <c r="R751" s="187">
        <f>SUM(R745:R750)</f>
        <v>0</v>
      </c>
      <c r="S751" s="168">
        <v>0</v>
      </c>
      <c r="T751" s="7">
        <f>R751-S751</f>
        <v>0</v>
      </c>
    </row>
    <row r="752" spans="1:20" s="169" customFormat="1" ht="15" hidden="1" customHeight="1">
      <c r="A752" s="23"/>
      <c r="B752" s="88"/>
      <c r="C752" s="88"/>
      <c r="D752" s="960" t="s">
        <v>320</v>
      </c>
      <c r="E752" s="512">
        <v>0</v>
      </c>
      <c r="F752" s="512">
        <f>S756/1000</f>
        <v>0</v>
      </c>
      <c r="G752" s="935">
        <f>F752+F753-E752-E753</f>
        <v>0</v>
      </c>
      <c r="H752" s="911" t="e">
        <f>G752/(E752+E753)</f>
        <v>#DIV/0!</v>
      </c>
      <c r="I752" s="35" t="s">
        <v>321</v>
      </c>
      <c r="J752" s="79">
        <v>12000</v>
      </c>
      <c r="K752" s="20" t="s">
        <v>24</v>
      </c>
      <c r="L752" s="285">
        <v>0</v>
      </c>
      <c r="M752" s="20" t="s">
        <v>180</v>
      </c>
      <c r="N752" s="20"/>
      <c r="O752" s="20"/>
      <c r="P752" s="20"/>
      <c r="Q752" s="20" t="s">
        <v>22</v>
      </c>
      <c r="R752" s="98">
        <f>J752*L752</f>
        <v>0</v>
      </c>
      <c r="S752" s="168"/>
      <c r="T752" s="7"/>
    </row>
    <row r="753" spans="1:20" s="169" customFormat="1" ht="15" hidden="1" customHeight="1">
      <c r="A753" s="23"/>
      <c r="B753" s="88"/>
      <c r="C753" s="88"/>
      <c r="D753" s="960"/>
      <c r="E753" s="923">
        <v>0</v>
      </c>
      <c r="F753" s="923">
        <f>T756/1000</f>
        <v>0</v>
      </c>
      <c r="G753" s="935"/>
      <c r="H753" s="911"/>
      <c r="I753" s="20" t="s">
        <v>322</v>
      </c>
      <c r="J753" s="79">
        <v>27500</v>
      </c>
      <c r="K753" s="20" t="s">
        <v>60</v>
      </c>
      <c r="L753" s="285">
        <v>0</v>
      </c>
      <c r="M753" s="20" t="s">
        <v>180</v>
      </c>
      <c r="N753" s="202"/>
      <c r="O753" s="202"/>
      <c r="P753" s="202"/>
      <c r="Q753" s="202" t="s">
        <v>22</v>
      </c>
      <c r="R753" s="98">
        <f>J753*L753</f>
        <v>0</v>
      </c>
      <c r="S753" s="168"/>
      <c r="T753" s="7"/>
    </row>
    <row r="754" spans="1:20" s="169" customFormat="1" ht="15" hidden="1" customHeight="1">
      <c r="A754" s="497"/>
      <c r="B754" s="286"/>
      <c r="C754" s="230"/>
      <c r="D754" s="518"/>
      <c r="E754" s="917"/>
      <c r="F754" s="917"/>
      <c r="G754" s="506"/>
      <c r="H754" s="491"/>
      <c r="I754" s="35" t="s">
        <v>323</v>
      </c>
      <c r="J754" s="79">
        <v>500000</v>
      </c>
      <c r="K754" s="20" t="s">
        <v>60</v>
      </c>
      <c r="L754" s="285">
        <v>0</v>
      </c>
      <c r="M754" s="20" t="s">
        <v>180</v>
      </c>
      <c r="N754" s="202"/>
      <c r="O754" s="202"/>
      <c r="P754" s="202"/>
      <c r="Q754" s="202" t="s">
        <v>22</v>
      </c>
      <c r="R754" s="98">
        <f>J754*L754</f>
        <v>0</v>
      </c>
      <c r="S754" s="168"/>
      <c r="T754" s="7"/>
    </row>
    <row r="755" spans="1:20" s="169" customFormat="1" ht="15" hidden="1" customHeight="1">
      <c r="A755" s="23"/>
      <c r="B755" s="22"/>
      <c r="C755" s="32"/>
      <c r="D755" s="32"/>
      <c r="E755" s="33"/>
      <c r="F755" s="33"/>
      <c r="G755" s="487"/>
      <c r="H755" s="487"/>
      <c r="I755" s="287" t="s">
        <v>324</v>
      </c>
      <c r="J755" s="396"/>
      <c r="K755" s="399"/>
      <c r="L755" s="399"/>
      <c r="M755" s="399"/>
      <c r="N755" s="399"/>
      <c r="O755" s="399"/>
      <c r="P755" s="399"/>
      <c r="Q755" s="399"/>
      <c r="R755" s="288">
        <v>0</v>
      </c>
      <c r="S755" s="168"/>
      <c r="T755" s="7"/>
    </row>
    <row r="756" spans="1:20" s="169" customFormat="1" ht="15" hidden="1" customHeight="1">
      <c r="A756" s="23"/>
      <c r="B756" s="23"/>
      <c r="C756" s="32"/>
      <c r="D756" s="32"/>
      <c r="E756" s="104"/>
      <c r="F756" s="104"/>
      <c r="G756" s="489"/>
      <c r="H756" s="487"/>
      <c r="I756" s="20"/>
      <c r="J756" s="157"/>
      <c r="K756" s="202"/>
      <c r="L756" s="202"/>
      <c r="M756" s="202"/>
      <c r="N756" s="202"/>
      <c r="O756" s="202"/>
      <c r="P756" s="202"/>
      <c r="Q756" s="202" t="s">
        <v>62</v>
      </c>
      <c r="R756" s="171">
        <f>SUM(R752:R755)</f>
        <v>0</v>
      </c>
      <c r="S756" s="168">
        <v>0</v>
      </c>
      <c r="T756" s="7">
        <f>R756-S756</f>
        <v>0</v>
      </c>
    </row>
    <row r="757" spans="1:20" s="169" customFormat="1" ht="15" hidden="1" customHeight="1">
      <c r="A757" s="23"/>
      <c r="B757" s="23"/>
      <c r="C757" s="495"/>
      <c r="D757" s="146"/>
      <c r="E757" s="187"/>
      <c r="F757" s="187"/>
      <c r="G757" s="534"/>
      <c r="H757" s="488"/>
      <c r="I757" s="18"/>
      <c r="J757" s="189"/>
      <c r="K757" s="221"/>
      <c r="L757" s="221"/>
      <c r="M757" s="221"/>
      <c r="N757" s="221"/>
      <c r="O757" s="221"/>
      <c r="P757" s="221"/>
      <c r="Q757" s="221"/>
      <c r="R757" s="170"/>
      <c r="S757" s="168"/>
      <c r="T757" s="7"/>
    </row>
    <row r="758" spans="1:20" s="169" customFormat="1" ht="15" customHeight="1">
      <c r="A758" s="23"/>
      <c r="B758" s="20"/>
      <c r="C758" s="23"/>
      <c r="D758" s="943" t="s">
        <v>325</v>
      </c>
      <c r="E758" s="923">
        <v>0</v>
      </c>
      <c r="F758" s="923">
        <v>0</v>
      </c>
      <c r="G758" s="933">
        <f>F758+F762-E758-E762</f>
        <v>-1182.106</v>
      </c>
      <c r="H758" s="962">
        <f>G758/(E758+E762)</f>
        <v>-0.36837207852913678</v>
      </c>
      <c r="I758" s="106" t="s">
        <v>326</v>
      </c>
      <c r="J758" s="272"/>
      <c r="K758" s="239"/>
      <c r="L758" s="239"/>
      <c r="M758" s="239"/>
      <c r="N758" s="239"/>
      <c r="O758" s="239"/>
      <c r="P758" s="239"/>
      <c r="Q758" s="239"/>
      <c r="R758" s="273">
        <f>SUM(R759:R764)</f>
        <v>869000</v>
      </c>
      <c r="S758" s="168"/>
      <c r="T758" s="7"/>
    </row>
    <row r="759" spans="1:20" s="169" customFormat="1" ht="15" customHeight="1">
      <c r="A759" s="23"/>
      <c r="B759" s="20"/>
      <c r="C759" s="23"/>
      <c r="D759" s="942"/>
      <c r="E759" s="917"/>
      <c r="F759" s="917"/>
      <c r="G759" s="935"/>
      <c r="H759" s="964"/>
      <c r="I759" s="35" t="s">
        <v>1039</v>
      </c>
      <c r="J759" s="67">
        <v>55000</v>
      </c>
      <c r="K759" s="532" t="s">
        <v>60</v>
      </c>
      <c r="L759" s="532" t="s">
        <v>239</v>
      </c>
      <c r="M759" s="532" t="s">
        <v>180</v>
      </c>
      <c r="N759" s="532"/>
      <c r="O759" s="532"/>
      <c r="P759" s="532"/>
      <c r="Q759" s="532" t="s">
        <v>22</v>
      </c>
      <c r="R759" s="71">
        <f>J759*L759</f>
        <v>275000</v>
      </c>
      <c r="S759" s="168"/>
      <c r="T759" s="7"/>
    </row>
    <row r="760" spans="1:20" s="169" customFormat="1" ht="15" customHeight="1">
      <c r="A760" s="23"/>
      <c r="B760" s="20"/>
      <c r="C760" s="23"/>
      <c r="D760" s="942"/>
      <c r="E760" s="917"/>
      <c r="F760" s="917"/>
      <c r="G760" s="935"/>
      <c r="H760" s="964"/>
      <c r="I760" s="35" t="s">
        <v>1038</v>
      </c>
      <c r="J760" s="67">
        <v>44000</v>
      </c>
      <c r="K760" s="702" t="s">
        <v>20</v>
      </c>
      <c r="L760" s="702" t="s">
        <v>239</v>
      </c>
      <c r="M760" s="702" t="s">
        <v>180</v>
      </c>
      <c r="N760" s="702"/>
      <c r="O760" s="702"/>
      <c r="P760" s="702"/>
      <c r="Q760" s="702" t="s">
        <v>22</v>
      </c>
      <c r="R760" s="71">
        <f>J760*L760</f>
        <v>220000</v>
      </c>
      <c r="S760" s="168"/>
      <c r="T760" s="7"/>
    </row>
    <row r="761" spans="1:20" s="169" customFormat="1" ht="15" customHeight="1">
      <c r="A761" s="23"/>
      <c r="B761" s="20"/>
      <c r="C761" s="23"/>
      <c r="D761" s="942"/>
      <c r="E761" s="918"/>
      <c r="F761" s="918"/>
      <c r="G761" s="935"/>
      <c r="H761" s="964"/>
      <c r="I761" s="35" t="s">
        <v>1041</v>
      </c>
      <c r="J761" s="67">
        <v>44000</v>
      </c>
      <c r="K761" s="532" t="s">
        <v>60</v>
      </c>
      <c r="L761" s="532" t="s">
        <v>1040</v>
      </c>
      <c r="M761" s="532" t="s">
        <v>180</v>
      </c>
      <c r="N761" s="532"/>
      <c r="O761" s="532"/>
      <c r="P761" s="532"/>
      <c r="Q761" s="532" t="s">
        <v>22</v>
      </c>
      <c r="R761" s="71">
        <f>J761*L761</f>
        <v>132000</v>
      </c>
      <c r="S761" s="168"/>
      <c r="T761" s="7"/>
    </row>
    <row r="762" spans="1:20" s="169" customFormat="1" ht="15" customHeight="1">
      <c r="A762" s="23"/>
      <c r="B762" s="20"/>
      <c r="C762" s="23"/>
      <c r="D762" s="942"/>
      <c r="E762" s="923">
        <v>3209</v>
      </c>
      <c r="F762" s="991">
        <f>T767/1000</f>
        <v>2026.894</v>
      </c>
      <c r="G762" s="935"/>
      <c r="H762" s="964"/>
      <c r="I762" s="35" t="s">
        <v>1042</v>
      </c>
      <c r="J762" s="67">
        <v>22000</v>
      </c>
      <c r="K762" s="532" t="s">
        <v>20</v>
      </c>
      <c r="L762" s="532" t="s">
        <v>1043</v>
      </c>
      <c r="M762" s="532" t="s">
        <v>270</v>
      </c>
      <c r="N762" s="532"/>
      <c r="O762" s="532"/>
      <c r="P762" s="532"/>
      <c r="Q762" s="532" t="s">
        <v>22</v>
      </c>
      <c r="R762" s="71">
        <f>J762*L762</f>
        <v>88000</v>
      </c>
      <c r="S762" s="168"/>
      <c r="T762" s="7"/>
    </row>
    <row r="763" spans="1:20" s="169" customFormat="1" ht="15" customHeight="1">
      <c r="A763" s="23"/>
      <c r="B763" s="20"/>
      <c r="C763" s="23"/>
      <c r="D763" s="942"/>
      <c r="E763" s="917"/>
      <c r="F763" s="992"/>
      <c r="G763" s="935"/>
      <c r="H763" s="964"/>
      <c r="I763" s="35" t="s">
        <v>1044</v>
      </c>
      <c r="J763" s="67">
        <v>30800</v>
      </c>
      <c r="K763" s="532" t="s">
        <v>20</v>
      </c>
      <c r="L763" s="532" t="s">
        <v>239</v>
      </c>
      <c r="M763" s="532" t="s">
        <v>270</v>
      </c>
      <c r="N763" s="532"/>
      <c r="O763" s="532"/>
      <c r="P763" s="532"/>
      <c r="Q763" s="532" t="s">
        <v>22</v>
      </c>
      <c r="R763" s="71">
        <f>J763*L763</f>
        <v>154000</v>
      </c>
      <c r="S763" s="168"/>
      <c r="T763" s="7"/>
    </row>
    <row r="764" spans="1:20" s="169" customFormat="1" ht="15" customHeight="1">
      <c r="A764" s="23"/>
      <c r="B764" s="20"/>
      <c r="C764" s="23"/>
      <c r="D764" s="689"/>
      <c r="E764" s="289"/>
      <c r="F764" s="290"/>
      <c r="G764" s="143"/>
      <c r="H764" s="511"/>
      <c r="I764" s="35"/>
      <c r="J764" s="67"/>
      <c r="K764" s="532"/>
      <c r="L764" s="532"/>
      <c r="M764" s="532"/>
      <c r="N764" s="532"/>
      <c r="O764" s="532"/>
      <c r="P764" s="532"/>
      <c r="Q764" s="532"/>
      <c r="R764" s="71"/>
      <c r="S764" s="168"/>
      <c r="T764" s="7"/>
    </row>
    <row r="765" spans="1:20" s="169" customFormat="1" ht="15" customHeight="1">
      <c r="A765" s="23"/>
      <c r="B765" s="20"/>
      <c r="C765" s="23"/>
      <c r="D765" s="689"/>
      <c r="E765" s="289"/>
      <c r="F765" s="290"/>
      <c r="G765" s="143"/>
      <c r="H765" s="511"/>
      <c r="I765" s="287" t="s">
        <v>327</v>
      </c>
      <c r="J765" s="403"/>
      <c r="K765" s="397"/>
      <c r="L765" s="397"/>
      <c r="M765" s="397"/>
      <c r="N765" s="397"/>
      <c r="O765" s="397"/>
      <c r="P765" s="397"/>
      <c r="Q765" s="397"/>
      <c r="R765" s="404">
        <f>2157087+807-1000000</f>
        <v>1157894</v>
      </c>
      <c r="S765" s="168"/>
      <c r="T765" s="7"/>
    </row>
    <row r="766" spans="1:20" s="169" customFormat="1" ht="15" customHeight="1">
      <c r="A766" s="23"/>
      <c r="B766" s="20"/>
      <c r="C766" s="23"/>
      <c r="D766" s="275"/>
      <c r="E766" s="274"/>
      <c r="F766" s="274"/>
      <c r="G766" s="143"/>
      <c r="H766" s="511"/>
      <c r="I766" s="291"/>
      <c r="J766" s="158"/>
      <c r="K766" s="158"/>
      <c r="L766" s="158"/>
      <c r="M766" s="158"/>
      <c r="N766" s="158"/>
      <c r="O766" s="158"/>
      <c r="P766" s="158"/>
      <c r="Q766" s="158"/>
      <c r="R766" s="276"/>
      <c r="S766" s="168"/>
      <c r="T766" s="7"/>
    </row>
    <row r="767" spans="1:20" s="169" customFormat="1" ht="15" customHeight="1">
      <c r="A767" s="497"/>
      <c r="B767" s="18"/>
      <c r="C767" s="497"/>
      <c r="D767" s="277"/>
      <c r="E767" s="278"/>
      <c r="F767" s="278"/>
      <c r="G767" s="279"/>
      <c r="H767" s="521"/>
      <c r="I767" s="16"/>
      <c r="J767" s="280"/>
      <c r="K767" s="246"/>
      <c r="L767" s="246"/>
      <c r="M767" s="246"/>
      <c r="N767" s="246"/>
      <c r="O767" s="246"/>
      <c r="P767" s="246"/>
      <c r="Q767" s="222" t="s">
        <v>126</v>
      </c>
      <c r="R767" s="187">
        <f>SUM(R759:R766)</f>
        <v>2026894</v>
      </c>
      <c r="S767" s="168">
        <v>0</v>
      </c>
      <c r="T767" s="7">
        <f>R767-S767</f>
        <v>2026894</v>
      </c>
    </row>
    <row r="768" spans="1:20" s="169" customFormat="1" ht="15" customHeight="1">
      <c r="A768" s="23"/>
      <c r="B768" s="88"/>
      <c r="C768" s="940" t="s">
        <v>328</v>
      </c>
      <c r="D768" s="32"/>
      <c r="E768" s="504">
        <f>SUM(E770,E786,E791)</f>
        <v>0</v>
      </c>
      <c r="F768" s="504">
        <f>SUM(F770,F786,F791)</f>
        <v>0</v>
      </c>
      <c r="G768" s="935">
        <f>F768+F769-E768-E769</f>
        <v>2914</v>
      </c>
      <c r="H768" s="964">
        <f>G768/(E768+E769)</f>
        <v>0.5951797385620915</v>
      </c>
      <c r="I768" s="35"/>
      <c r="J768" s="21"/>
      <c r="K768" s="20"/>
      <c r="L768" s="20"/>
      <c r="M768" s="20"/>
      <c r="N768" s="20"/>
      <c r="O768" s="20"/>
      <c r="P768" s="20"/>
      <c r="Q768" s="20"/>
      <c r="R768" s="171"/>
      <c r="S768" s="168"/>
      <c r="T768" s="7"/>
    </row>
    <row r="769" spans="1:20" s="169" customFormat="1" ht="15" customHeight="1">
      <c r="A769" s="23"/>
      <c r="B769" s="23"/>
      <c r="C769" s="993"/>
      <c r="D769" s="32"/>
      <c r="E769" s="503">
        <f>SUM(E771,E790,E794)</f>
        <v>4896</v>
      </c>
      <c r="F769" s="503">
        <f>SUM(F771,F790,F794)</f>
        <v>7810</v>
      </c>
      <c r="G769" s="934"/>
      <c r="H769" s="963"/>
      <c r="I769" s="35"/>
      <c r="J769" s="21"/>
      <c r="K769" s="20"/>
      <c r="L769" s="20"/>
      <c r="M769" s="20"/>
      <c r="N769" s="20"/>
      <c r="O769" s="20"/>
      <c r="P769" s="20"/>
      <c r="Q769" s="20"/>
      <c r="R769" s="171"/>
      <c r="S769" s="168">
        <f>SUM(S785,S790,S795)</f>
        <v>0</v>
      </c>
      <c r="T769" s="168">
        <f>SUM(T785,T790,T795)</f>
        <v>7810000</v>
      </c>
    </row>
    <row r="770" spans="1:20" s="169" customFormat="1" ht="15" customHeight="1">
      <c r="A770" s="23"/>
      <c r="B770" s="23"/>
      <c r="C770" s="173"/>
      <c r="D770" s="943" t="s">
        <v>329</v>
      </c>
      <c r="E770" s="292">
        <v>0</v>
      </c>
      <c r="F770" s="292">
        <f>S785/1000</f>
        <v>0</v>
      </c>
      <c r="G770" s="927">
        <f>E770+E771-F770-F771</f>
        <v>-3440</v>
      </c>
      <c r="H770" s="962">
        <f>G770/(E770+E771)</f>
        <v>-6.2545454545454549</v>
      </c>
      <c r="I770" s="28" t="s">
        <v>330</v>
      </c>
      <c r="J770" s="156"/>
      <c r="K770" s="28"/>
      <c r="L770" s="28"/>
      <c r="M770" s="28"/>
      <c r="N770" s="28"/>
      <c r="O770" s="28"/>
      <c r="P770" s="28"/>
      <c r="Q770" s="28"/>
      <c r="R770" s="293"/>
      <c r="S770" s="168"/>
      <c r="T770" s="7"/>
    </row>
    <row r="771" spans="1:20" s="169" customFormat="1" ht="15" customHeight="1">
      <c r="A771" s="23"/>
      <c r="B771" s="23"/>
      <c r="C771" s="88"/>
      <c r="D771" s="942"/>
      <c r="E771" s="294">
        <v>550</v>
      </c>
      <c r="F771" s="294">
        <f>T785/1000</f>
        <v>3990</v>
      </c>
      <c r="G771" s="919"/>
      <c r="H771" s="964"/>
      <c r="I771" s="20" t="s">
        <v>1060</v>
      </c>
      <c r="J771" s="67">
        <v>100000</v>
      </c>
      <c r="K771" s="718" t="s">
        <v>20</v>
      </c>
      <c r="L771" s="718" t="s">
        <v>825</v>
      </c>
      <c r="M771" s="718" t="s">
        <v>21</v>
      </c>
      <c r="N771" s="718" t="s">
        <v>20</v>
      </c>
      <c r="O771" s="718" t="s">
        <v>849</v>
      </c>
      <c r="P771" s="718" t="s">
        <v>19</v>
      </c>
      <c r="Q771" s="718" t="s">
        <v>22</v>
      </c>
      <c r="R771" s="71">
        <f>J771*L771*O771</f>
        <v>1200000</v>
      </c>
      <c r="S771" s="168"/>
      <c r="T771" s="7"/>
    </row>
    <row r="772" spans="1:20" s="169" customFormat="1" ht="15" customHeight="1">
      <c r="A772" s="23"/>
      <c r="B772" s="23"/>
      <c r="C772" s="88"/>
      <c r="D772" s="942"/>
      <c r="E772" s="294"/>
      <c r="F772" s="294"/>
      <c r="G772" s="517"/>
      <c r="H772" s="511"/>
      <c r="I772" s="20" t="s">
        <v>1061</v>
      </c>
      <c r="J772" s="67"/>
      <c r="K772" s="659"/>
      <c r="L772" s="659"/>
      <c r="M772" s="659"/>
      <c r="N772" s="659"/>
      <c r="O772" s="659"/>
      <c r="P772" s="659"/>
      <c r="Q772" s="659"/>
      <c r="R772" s="71"/>
      <c r="S772" s="168"/>
      <c r="T772" s="7"/>
    </row>
    <row r="773" spans="1:20" s="169" customFormat="1" ht="15" customHeight="1">
      <c r="A773" s="23"/>
      <c r="B773" s="23"/>
      <c r="C773" s="88"/>
      <c r="D773" s="942"/>
      <c r="E773" s="294"/>
      <c r="F773" s="294"/>
      <c r="G773" s="517"/>
      <c r="H773" s="511"/>
      <c r="I773" s="20" t="s">
        <v>1062</v>
      </c>
      <c r="J773" s="67">
        <v>50000</v>
      </c>
      <c r="K773" s="718" t="s">
        <v>20</v>
      </c>
      <c r="L773" s="718" t="s">
        <v>264</v>
      </c>
      <c r="M773" s="718" t="s">
        <v>180</v>
      </c>
      <c r="N773" s="718" t="s">
        <v>20</v>
      </c>
      <c r="O773" s="718" t="s">
        <v>1067</v>
      </c>
      <c r="P773" s="718" t="s">
        <v>251</v>
      </c>
      <c r="Q773" s="718" t="s">
        <v>22</v>
      </c>
      <c r="R773" s="71">
        <f>J773*L773*O773</f>
        <v>300000</v>
      </c>
      <c r="S773" s="168"/>
      <c r="T773" s="7"/>
    </row>
    <row r="774" spans="1:20" s="169" customFormat="1" ht="15" customHeight="1">
      <c r="A774" s="23"/>
      <c r="B774" s="23"/>
      <c r="C774" s="88"/>
      <c r="D774" s="942"/>
      <c r="E774" s="294"/>
      <c r="F774" s="294"/>
      <c r="G774" s="644"/>
      <c r="H774" s="655"/>
      <c r="I774" s="20" t="s">
        <v>1200</v>
      </c>
      <c r="J774" s="67">
        <v>25000</v>
      </c>
      <c r="K774" s="718" t="s">
        <v>20</v>
      </c>
      <c r="L774" s="718" t="s">
        <v>264</v>
      </c>
      <c r="M774" s="718" t="s">
        <v>292</v>
      </c>
      <c r="N774" s="718" t="s">
        <v>20</v>
      </c>
      <c r="O774" s="718" t="s">
        <v>734</v>
      </c>
      <c r="P774" s="718" t="s">
        <v>25</v>
      </c>
      <c r="Q774" s="718" t="s">
        <v>22</v>
      </c>
      <c r="R774" s="71">
        <f>J774*L774*O774</f>
        <v>50000</v>
      </c>
      <c r="S774" s="168"/>
      <c r="T774" s="7"/>
    </row>
    <row r="775" spans="1:20" s="169" customFormat="1" ht="15" customHeight="1">
      <c r="A775" s="23"/>
      <c r="B775" s="23"/>
      <c r="C775" s="88"/>
      <c r="D775" s="942"/>
      <c r="E775" s="294"/>
      <c r="F775" s="294"/>
      <c r="G775" s="644"/>
      <c r="H775" s="655"/>
      <c r="I775" s="20" t="s">
        <v>1063</v>
      </c>
      <c r="J775" s="67"/>
      <c r="K775" s="659"/>
      <c r="L775" s="659"/>
      <c r="M775" s="659"/>
      <c r="N775" s="659"/>
      <c r="O775" s="659"/>
      <c r="P775" s="659"/>
      <c r="Q775" s="659"/>
      <c r="R775" s="71"/>
      <c r="S775" s="168"/>
      <c r="T775" s="7"/>
    </row>
    <row r="776" spans="1:20" s="169" customFormat="1" ht="15" customHeight="1">
      <c r="A776" s="23"/>
      <c r="B776" s="23"/>
      <c r="C776" s="88"/>
      <c r="D776" s="942"/>
      <c r="E776" s="294"/>
      <c r="F776" s="294"/>
      <c r="G776" s="517"/>
      <c r="H776" s="511"/>
      <c r="I776" s="20" t="s">
        <v>1064</v>
      </c>
      <c r="J776" s="67">
        <v>1333</v>
      </c>
      <c r="K776" s="659" t="s">
        <v>60</v>
      </c>
      <c r="L776" s="659" t="s">
        <v>1068</v>
      </c>
      <c r="M776" s="659" t="s">
        <v>180</v>
      </c>
      <c r="N776" s="659" t="s">
        <v>847</v>
      </c>
      <c r="O776" s="659" t="s">
        <v>851</v>
      </c>
      <c r="P776" s="659" t="s">
        <v>848</v>
      </c>
      <c r="Q776" s="659" t="s">
        <v>22</v>
      </c>
      <c r="R776" s="71">
        <f>J776*L776*O776+500</f>
        <v>2000000</v>
      </c>
      <c r="S776" s="168"/>
      <c r="T776" s="7"/>
    </row>
    <row r="777" spans="1:20" s="169" customFormat="1" ht="15" hidden="1" customHeight="1">
      <c r="A777" s="23"/>
      <c r="B777" s="23"/>
      <c r="C777" s="88"/>
      <c r="D777" s="942"/>
      <c r="E777" s="294"/>
      <c r="F777" s="294"/>
      <c r="G777" s="644"/>
      <c r="H777" s="655"/>
      <c r="I777" s="20"/>
      <c r="J777" s="67"/>
      <c r="K777" s="659"/>
      <c r="L777" s="659"/>
      <c r="M777" s="659"/>
      <c r="N777" s="659"/>
      <c r="O777" s="659"/>
      <c r="P777" s="659"/>
      <c r="Q777" s="659"/>
      <c r="R777" s="71"/>
      <c r="S777" s="168"/>
      <c r="T777" s="7"/>
    </row>
    <row r="778" spans="1:20" s="169" customFormat="1" ht="15" hidden="1" customHeight="1">
      <c r="A778" s="23"/>
      <c r="B778" s="23"/>
      <c r="C778" s="88"/>
      <c r="D778" s="942"/>
      <c r="E778" s="294"/>
      <c r="F778" s="294"/>
      <c r="G778" s="709"/>
      <c r="H778" s="711"/>
      <c r="I778" s="20"/>
      <c r="J778" s="67"/>
      <c r="K778" s="718"/>
      <c r="L778" s="718"/>
      <c r="M778" s="718"/>
      <c r="N778" s="718"/>
      <c r="O778" s="718"/>
      <c r="P778" s="718"/>
      <c r="Q778" s="718"/>
      <c r="R778" s="71"/>
      <c r="S778" s="168"/>
      <c r="T778" s="7"/>
    </row>
    <row r="779" spans="1:20" s="169" customFormat="1" ht="15" hidden="1" customHeight="1">
      <c r="A779" s="23"/>
      <c r="B779" s="23"/>
      <c r="C779" s="88"/>
      <c r="D779" s="942"/>
      <c r="E779" s="294"/>
      <c r="F779" s="294"/>
      <c r="G779" s="709"/>
      <c r="H779" s="711"/>
      <c r="I779" s="20"/>
      <c r="J779" s="67"/>
      <c r="K779" s="718"/>
      <c r="L779" s="718"/>
      <c r="M779" s="718"/>
      <c r="N779" s="718"/>
      <c r="O779" s="718"/>
      <c r="P779" s="718"/>
      <c r="Q779" s="718"/>
      <c r="R779" s="71"/>
      <c r="S779" s="168"/>
      <c r="T779" s="7"/>
    </row>
    <row r="780" spans="1:20" s="169" customFormat="1" ht="15" hidden="1" customHeight="1">
      <c r="A780" s="23"/>
      <c r="B780" s="23"/>
      <c r="C780" s="88"/>
      <c r="D780" s="942"/>
      <c r="E780" s="294"/>
      <c r="F780" s="294"/>
      <c r="G780" s="709"/>
      <c r="H780" s="711"/>
      <c r="I780" s="20"/>
      <c r="J780" s="67"/>
      <c r="K780" s="718"/>
      <c r="L780" s="718"/>
      <c r="M780" s="718"/>
      <c r="N780" s="718"/>
      <c r="O780" s="718"/>
      <c r="P780" s="718"/>
      <c r="Q780" s="718"/>
      <c r="R780" s="71"/>
      <c r="S780" s="168"/>
      <c r="T780" s="7"/>
    </row>
    <row r="781" spans="1:20" s="169" customFormat="1" ht="15" customHeight="1">
      <c r="A781" s="23"/>
      <c r="B781" s="23"/>
      <c r="C781" s="88"/>
      <c r="D781" s="942"/>
      <c r="E781" s="294"/>
      <c r="F781" s="294"/>
      <c r="G781" s="709"/>
      <c r="H781" s="711"/>
      <c r="I781" s="20" t="s">
        <v>1232</v>
      </c>
      <c r="J781" s="67"/>
      <c r="K781" s="718"/>
      <c r="L781" s="718"/>
      <c r="M781" s="718"/>
      <c r="N781" s="718"/>
      <c r="O781" s="718"/>
      <c r="P781" s="718"/>
      <c r="Q781" s="718"/>
      <c r="R781" s="71"/>
      <c r="S781" s="168"/>
      <c r="T781" s="7"/>
    </row>
    <row r="782" spans="1:20" s="169" customFormat="1" ht="15" customHeight="1">
      <c r="A782" s="23"/>
      <c r="B782" s="23"/>
      <c r="C782" s="88"/>
      <c r="D782" s="942"/>
      <c r="E782" s="294"/>
      <c r="F782" s="294"/>
      <c r="G782" s="709"/>
      <c r="H782" s="711"/>
      <c r="I782" s="20" t="s">
        <v>1065</v>
      </c>
      <c r="J782" s="67">
        <v>2000</v>
      </c>
      <c r="K782" s="718" t="s">
        <v>20</v>
      </c>
      <c r="L782" s="718" t="s">
        <v>1069</v>
      </c>
      <c r="M782" s="718" t="s">
        <v>692</v>
      </c>
      <c r="N782" s="718" t="s">
        <v>20</v>
      </c>
      <c r="O782" s="718" t="s">
        <v>734</v>
      </c>
      <c r="P782" s="718" t="s">
        <v>25</v>
      </c>
      <c r="Q782" s="718" t="s">
        <v>22</v>
      </c>
      <c r="R782" s="71">
        <f>J782*L782*O782</f>
        <v>200000</v>
      </c>
      <c r="S782" s="168"/>
      <c r="T782" s="7"/>
    </row>
    <row r="783" spans="1:20" s="169" customFormat="1" ht="15" customHeight="1">
      <c r="A783" s="23"/>
      <c r="B783" s="23"/>
      <c r="C783" s="88"/>
      <c r="D783" s="942"/>
      <c r="E783" s="294"/>
      <c r="F783" s="294"/>
      <c r="G783" s="709"/>
      <c r="H783" s="711"/>
      <c r="I783" s="20" t="s">
        <v>1066</v>
      </c>
      <c r="J783" s="67">
        <v>20000</v>
      </c>
      <c r="K783" s="718" t="s">
        <v>20</v>
      </c>
      <c r="L783" s="718" t="s">
        <v>1070</v>
      </c>
      <c r="M783" s="718" t="s">
        <v>19</v>
      </c>
      <c r="N783" s="718" t="s">
        <v>20</v>
      </c>
      <c r="O783" s="718" t="s">
        <v>734</v>
      </c>
      <c r="P783" s="718" t="s">
        <v>25</v>
      </c>
      <c r="Q783" s="718" t="s">
        <v>22</v>
      </c>
      <c r="R783" s="71">
        <f>J783*L783*O783</f>
        <v>240000</v>
      </c>
      <c r="S783" s="168"/>
      <c r="T783" s="7"/>
    </row>
    <row r="784" spans="1:20" s="169" customFormat="1" ht="15" customHeight="1">
      <c r="A784" s="23"/>
      <c r="B784" s="23"/>
      <c r="C784" s="88"/>
      <c r="D784" s="942"/>
      <c r="E784" s="294"/>
      <c r="F784" s="294"/>
      <c r="G784" s="709"/>
      <c r="H784" s="711"/>
      <c r="I784" s="20"/>
      <c r="J784" s="67"/>
      <c r="K784" s="718"/>
      <c r="L784" s="718"/>
      <c r="M784" s="718"/>
      <c r="N784" s="718"/>
      <c r="O784" s="718"/>
      <c r="P784" s="718"/>
      <c r="Q784" s="718"/>
      <c r="R784" s="71"/>
      <c r="S784" s="168"/>
      <c r="T784" s="7"/>
    </row>
    <row r="785" spans="1:20" s="169" customFormat="1" ht="15" customHeight="1">
      <c r="A785" s="23"/>
      <c r="B785" s="23"/>
      <c r="C785" s="88"/>
      <c r="D785" s="994"/>
      <c r="E785" s="295"/>
      <c r="F785" s="295"/>
      <c r="G785" s="519"/>
      <c r="H785" s="520"/>
      <c r="I785" s="18"/>
      <c r="J785" s="296"/>
      <c r="K785" s="18"/>
      <c r="L785" s="18"/>
      <c r="M785" s="18"/>
      <c r="N785" s="18"/>
      <c r="O785" s="18"/>
      <c r="P785" s="18"/>
      <c r="Q785" s="18" t="s">
        <v>23</v>
      </c>
      <c r="R785" s="385">
        <f>SUM(R771:R784)</f>
        <v>3990000</v>
      </c>
      <c r="S785" s="168">
        <v>0</v>
      </c>
      <c r="T785" s="7">
        <f>R785-S785</f>
        <v>3990000</v>
      </c>
    </row>
    <row r="786" spans="1:20" s="169" customFormat="1" ht="15" customHeight="1">
      <c r="A786" s="23"/>
      <c r="B786" s="23"/>
      <c r="C786" s="88"/>
      <c r="D786" s="943" t="s">
        <v>331</v>
      </c>
      <c r="E786" s="925">
        <v>0</v>
      </c>
      <c r="F786" s="925">
        <f>S790/1000</f>
        <v>0</v>
      </c>
      <c r="G786" s="927">
        <f>F786+F790-E786-E790</f>
        <v>150</v>
      </c>
      <c r="H786" s="995">
        <f>G786/(E786+E790)</f>
        <v>0.35714285714285715</v>
      </c>
      <c r="I786" s="28" t="s">
        <v>332</v>
      </c>
      <c r="J786" s="156"/>
      <c r="K786" s="28"/>
      <c r="L786" s="28"/>
      <c r="M786" s="28"/>
      <c r="N786" s="28"/>
      <c r="O786" s="28"/>
      <c r="P786" s="28"/>
      <c r="Q786" s="28"/>
      <c r="R786" s="293">
        <f>R787+R788</f>
        <v>570000</v>
      </c>
      <c r="S786" s="168"/>
      <c r="T786" s="7"/>
    </row>
    <row r="787" spans="1:20" s="169" customFormat="1" ht="15" customHeight="1">
      <c r="A787" s="23"/>
      <c r="B787" s="23"/>
      <c r="C787" s="88"/>
      <c r="D787" s="942"/>
      <c r="E787" s="926"/>
      <c r="F787" s="926"/>
      <c r="G787" s="919"/>
      <c r="H787" s="996"/>
      <c r="I787" s="20" t="s">
        <v>221</v>
      </c>
      <c r="J787" s="63">
        <v>3000</v>
      </c>
      <c r="K787" s="20" t="s">
        <v>20</v>
      </c>
      <c r="L787" s="20">
        <v>8</v>
      </c>
      <c r="M787" s="20" t="s">
        <v>21</v>
      </c>
      <c r="N787" s="20" t="s">
        <v>20</v>
      </c>
      <c r="O787" s="20">
        <v>15</v>
      </c>
      <c r="P787" s="20" t="s">
        <v>333</v>
      </c>
      <c r="Q787" s="27" t="s">
        <v>43</v>
      </c>
      <c r="R787" s="253">
        <f>J787*L787*O787</f>
        <v>360000</v>
      </c>
      <c r="S787" s="168"/>
      <c r="T787" s="7"/>
    </row>
    <row r="788" spans="1:20" s="169" customFormat="1" ht="15" customHeight="1">
      <c r="A788" s="23"/>
      <c r="B788" s="23"/>
      <c r="C788" s="88"/>
      <c r="D788" s="942"/>
      <c r="E788" s="926"/>
      <c r="F788" s="926"/>
      <c r="G788" s="919"/>
      <c r="H788" s="996"/>
      <c r="I788" s="20" t="s">
        <v>334</v>
      </c>
      <c r="J788" s="63">
        <v>15000</v>
      </c>
      <c r="K788" s="20" t="s">
        <v>24</v>
      </c>
      <c r="L788" s="20">
        <v>7</v>
      </c>
      <c r="M788" s="20" t="s">
        <v>21</v>
      </c>
      <c r="N788" s="20" t="s">
        <v>24</v>
      </c>
      <c r="O788" s="20">
        <v>2</v>
      </c>
      <c r="P788" s="20" t="s">
        <v>25</v>
      </c>
      <c r="Q788" s="27" t="s">
        <v>22</v>
      </c>
      <c r="R788" s="253">
        <f>J788*L788*O788</f>
        <v>210000</v>
      </c>
      <c r="S788" s="168"/>
      <c r="T788" s="7"/>
    </row>
    <row r="789" spans="1:20" s="169" customFormat="1" ht="15" customHeight="1">
      <c r="A789" s="23"/>
      <c r="B789" s="23"/>
      <c r="C789" s="88"/>
      <c r="D789" s="942"/>
      <c r="E789" s="932"/>
      <c r="F789" s="932"/>
      <c r="G789" s="919"/>
      <c r="H789" s="996"/>
      <c r="I789" s="20"/>
      <c r="J789" s="63"/>
      <c r="K789" s="20"/>
      <c r="L789" s="20"/>
      <c r="M789" s="20"/>
      <c r="N789" s="20"/>
      <c r="O789" s="20"/>
      <c r="P789" s="20"/>
      <c r="Q789" s="27"/>
      <c r="R789" s="253"/>
      <c r="S789" s="168"/>
      <c r="T789" s="7"/>
    </row>
    <row r="790" spans="1:20" s="169" customFormat="1" ht="15" customHeight="1">
      <c r="A790" s="23"/>
      <c r="B790" s="23"/>
      <c r="C790" s="88"/>
      <c r="D790" s="994"/>
      <c r="E790" s="509">
        <v>420</v>
      </c>
      <c r="F790" s="509">
        <f>T790/1000</f>
        <v>570</v>
      </c>
      <c r="G790" s="519"/>
      <c r="H790" s="520"/>
      <c r="I790" s="18"/>
      <c r="J790" s="17"/>
      <c r="K790" s="18"/>
      <c r="L790" s="18"/>
      <c r="M790" s="18"/>
      <c r="N790" s="18"/>
      <c r="O790" s="18"/>
      <c r="P790" s="18"/>
      <c r="Q790" s="18" t="s">
        <v>23</v>
      </c>
      <c r="R790" s="170">
        <f>SUM(R787:R789)</f>
        <v>570000</v>
      </c>
      <c r="S790" s="168">
        <v>0</v>
      </c>
      <c r="T790" s="7">
        <f>R790-S790</f>
        <v>570000</v>
      </c>
    </row>
    <row r="791" spans="1:20" s="169" customFormat="1" ht="15" customHeight="1">
      <c r="A791" s="23"/>
      <c r="B791" s="23"/>
      <c r="C791" s="88"/>
      <c r="D791" s="999" t="s">
        <v>335</v>
      </c>
      <c r="E791" s="978">
        <v>0</v>
      </c>
      <c r="F791" s="978">
        <f>S795/1000</f>
        <v>0</v>
      </c>
      <c r="G791" s="1002">
        <f>F791+F794-E791-E794</f>
        <v>-676</v>
      </c>
      <c r="H791" s="997">
        <f>G791/(E791+E794)</f>
        <v>-0.17218543046357615</v>
      </c>
      <c r="I791" s="28" t="s">
        <v>336</v>
      </c>
      <c r="J791" s="180">
        <v>250000</v>
      </c>
      <c r="K791" s="202" t="s">
        <v>60</v>
      </c>
      <c r="L791" s="127">
        <v>5</v>
      </c>
      <c r="M791" s="202" t="s">
        <v>65</v>
      </c>
      <c r="N791" s="202"/>
      <c r="O791" s="202"/>
      <c r="P791" s="202"/>
      <c r="Q791" s="202" t="s">
        <v>22</v>
      </c>
      <c r="R791" s="98">
        <f>J791*L791</f>
        <v>1250000</v>
      </c>
      <c r="S791" s="168"/>
      <c r="T791" s="7"/>
    </row>
    <row r="792" spans="1:20" s="169" customFormat="1" ht="15" customHeight="1">
      <c r="A792" s="23"/>
      <c r="B792" s="23"/>
      <c r="C792" s="88"/>
      <c r="D792" s="1000"/>
      <c r="E792" s="978"/>
      <c r="F792" s="978"/>
      <c r="G792" s="1003"/>
      <c r="H792" s="998"/>
      <c r="I792" s="20" t="s">
        <v>751</v>
      </c>
      <c r="J792" s="79">
        <v>0</v>
      </c>
      <c r="K792" s="561" t="s">
        <v>15</v>
      </c>
      <c r="L792" s="444">
        <v>0</v>
      </c>
      <c r="M792" s="180" t="s">
        <v>16</v>
      </c>
      <c r="N792" s="561"/>
      <c r="O792" s="561"/>
      <c r="P792" s="561"/>
      <c r="Q792" s="20" t="s">
        <v>18</v>
      </c>
      <c r="R792" s="98">
        <f>J792*L792</f>
        <v>0</v>
      </c>
      <c r="S792" s="168"/>
      <c r="T792" s="7"/>
    </row>
    <row r="793" spans="1:20" s="169" customFormat="1" ht="15" customHeight="1">
      <c r="A793" s="23"/>
      <c r="B793" s="23"/>
      <c r="C793" s="88"/>
      <c r="D793" s="1000"/>
      <c r="E793" s="978"/>
      <c r="F793" s="978"/>
      <c r="G793" s="1003"/>
      <c r="H793" s="998"/>
      <c r="I793" s="20" t="s">
        <v>337</v>
      </c>
      <c r="J793" s="180">
        <v>1000000</v>
      </c>
      <c r="K793" s="202" t="s">
        <v>60</v>
      </c>
      <c r="L793" s="127">
        <v>2</v>
      </c>
      <c r="M793" s="202" t="s">
        <v>25</v>
      </c>
      <c r="N793" s="202"/>
      <c r="O793" s="202"/>
      <c r="P793" s="202"/>
      <c r="Q793" s="202" t="s">
        <v>22</v>
      </c>
      <c r="R793" s="98">
        <f>J793*L793</f>
        <v>2000000</v>
      </c>
      <c r="S793" s="168"/>
      <c r="T793" s="7"/>
    </row>
    <row r="794" spans="1:20" s="169" customFormat="1" ht="15" customHeight="1">
      <c r="A794" s="23"/>
      <c r="B794" s="23"/>
      <c r="C794" s="88"/>
      <c r="D794" s="1000"/>
      <c r="E794" s="978">
        <v>3926</v>
      </c>
      <c r="F794" s="978">
        <f>T795/1000</f>
        <v>3250</v>
      </c>
      <c r="G794" s="1003"/>
      <c r="H794" s="998"/>
      <c r="I794" s="20"/>
      <c r="J794" s="63"/>
      <c r="K794" s="20"/>
      <c r="L794" s="20"/>
      <c r="M794" s="20"/>
      <c r="N794" s="20"/>
      <c r="O794" s="20"/>
      <c r="P794" s="20"/>
      <c r="Q794" s="20"/>
      <c r="R794" s="171"/>
      <c r="S794" s="168"/>
      <c r="T794" s="7"/>
    </row>
    <row r="795" spans="1:20" s="169" customFormat="1" ht="15" customHeight="1">
      <c r="A795" s="23"/>
      <c r="B795" s="23"/>
      <c r="C795" s="230"/>
      <c r="D795" s="1001"/>
      <c r="E795" s="978"/>
      <c r="F795" s="978"/>
      <c r="G795" s="297"/>
      <c r="H795" s="520"/>
      <c r="I795" s="18"/>
      <c r="J795" s="17"/>
      <c r="K795" s="18"/>
      <c r="L795" s="18"/>
      <c r="M795" s="18"/>
      <c r="N795" s="18"/>
      <c r="O795" s="18"/>
      <c r="P795" s="18"/>
      <c r="Q795" s="18" t="s">
        <v>126</v>
      </c>
      <c r="R795" s="170">
        <f>SUM(R791:R794)</f>
        <v>3250000</v>
      </c>
      <c r="S795" s="168">
        <v>0</v>
      </c>
      <c r="T795" s="7">
        <f>R795-S795</f>
        <v>3250000</v>
      </c>
    </row>
    <row r="796" spans="1:20" s="169" customFormat="1" ht="17.25" customHeight="1">
      <c r="A796" s="23"/>
      <c r="B796" s="88"/>
      <c r="C796" s="939" t="s">
        <v>338</v>
      </c>
      <c r="D796" s="494"/>
      <c r="E796" s="917">
        <f>SUM(E800,E856,E903,E907)</f>
        <v>3000</v>
      </c>
      <c r="F796" s="917">
        <f>SUM(F800,F856,F903,F907)</f>
        <v>3000</v>
      </c>
      <c r="G796" s="933">
        <f>E796+E798-F796-F798</f>
        <v>12569.2</v>
      </c>
      <c r="H796" s="910">
        <f>G796/(E796+E798)</f>
        <v>0.4441099568935058</v>
      </c>
      <c r="I796" s="106"/>
      <c r="J796" s="107"/>
      <c r="K796" s="28"/>
      <c r="L796" s="28"/>
      <c r="M796" s="28"/>
      <c r="N796" s="28"/>
      <c r="O796" s="28"/>
      <c r="P796" s="28"/>
      <c r="Q796" s="28"/>
      <c r="R796" s="167"/>
      <c r="S796" s="168"/>
      <c r="T796" s="7"/>
    </row>
    <row r="797" spans="1:20" s="169" customFormat="1" ht="17.25" customHeight="1">
      <c r="A797" s="23"/>
      <c r="B797" s="88"/>
      <c r="C797" s="940"/>
      <c r="D797" s="32"/>
      <c r="E797" s="918"/>
      <c r="F797" s="918"/>
      <c r="G797" s="935"/>
      <c r="H797" s="911"/>
      <c r="I797" s="35"/>
      <c r="J797" s="21"/>
      <c r="K797" s="20"/>
      <c r="L797" s="20"/>
      <c r="M797" s="20"/>
      <c r="N797" s="20"/>
      <c r="O797" s="20"/>
      <c r="P797" s="20"/>
      <c r="Q797" s="20"/>
      <c r="R797" s="171"/>
      <c r="S797" s="168"/>
      <c r="T797" s="7"/>
    </row>
    <row r="798" spans="1:20" s="169" customFormat="1" ht="17.25" customHeight="1">
      <c r="A798" s="23"/>
      <c r="B798" s="88"/>
      <c r="C798" s="940"/>
      <c r="D798" s="32"/>
      <c r="E798" s="917">
        <f>SUM(E802,E858,E905,E909)</f>
        <v>25302</v>
      </c>
      <c r="F798" s="917">
        <f>SUM(F802,F858,F905,F909)</f>
        <v>12732.8</v>
      </c>
      <c r="G798" s="935"/>
      <c r="H798" s="911"/>
      <c r="I798" s="35"/>
      <c r="J798" s="21"/>
      <c r="K798" s="20"/>
      <c r="L798" s="20"/>
      <c r="M798" s="20"/>
      <c r="N798" s="20"/>
      <c r="O798" s="20"/>
      <c r="P798" s="20"/>
      <c r="Q798" s="20"/>
      <c r="R798" s="171"/>
      <c r="S798" s="168"/>
      <c r="T798" s="7"/>
    </row>
    <row r="799" spans="1:20" s="169" customFormat="1" ht="17.25" customHeight="1">
      <c r="A799" s="23"/>
      <c r="B799" s="88"/>
      <c r="C799" s="961"/>
      <c r="D799" s="32"/>
      <c r="E799" s="918"/>
      <c r="F799" s="918"/>
      <c r="G799" s="934"/>
      <c r="H799" s="915"/>
      <c r="I799" s="16"/>
      <c r="J799" s="17"/>
      <c r="K799" s="18"/>
      <c r="L799" s="18"/>
      <c r="M799" s="18"/>
      <c r="N799" s="18"/>
      <c r="O799" s="18"/>
      <c r="P799" s="18"/>
      <c r="Q799" s="18"/>
      <c r="R799" s="170"/>
      <c r="S799" s="168">
        <f>SUM(S800:S912)</f>
        <v>3000000</v>
      </c>
      <c r="T799" s="168">
        <f>SUM(T800:T912)</f>
        <v>12732800</v>
      </c>
    </row>
    <row r="800" spans="1:20" s="169" customFormat="1" ht="15" customHeight="1">
      <c r="A800" s="23"/>
      <c r="B800" s="22"/>
      <c r="C800" s="22"/>
      <c r="D800" s="943" t="s">
        <v>621</v>
      </c>
      <c r="E800" s="923">
        <v>0</v>
      </c>
      <c r="F800" s="923">
        <f>S855/1000</f>
        <v>0</v>
      </c>
      <c r="G800" s="933">
        <f>E800+E802-F800-F802</f>
        <v>5110.2000000000007</v>
      </c>
      <c r="H800" s="910">
        <f>G800/(E800+E802)</f>
        <v>0.33349866214187829</v>
      </c>
      <c r="I800" s="668" t="s">
        <v>339</v>
      </c>
      <c r="J800" s="298"/>
      <c r="K800" s="532"/>
      <c r="L800" s="532"/>
      <c r="M800" s="532"/>
      <c r="N800" s="532"/>
      <c r="O800" s="532"/>
      <c r="P800" s="532"/>
      <c r="Q800" s="532"/>
      <c r="R800" s="98">
        <f>SUM(R801:R805)</f>
        <v>350000</v>
      </c>
      <c r="S800" s="168"/>
      <c r="T800" s="7"/>
    </row>
    <row r="801" spans="1:20" s="169" customFormat="1" ht="15" customHeight="1">
      <c r="A801" s="23"/>
      <c r="B801" s="22"/>
      <c r="C801" s="22"/>
      <c r="D801" s="942"/>
      <c r="E801" s="917"/>
      <c r="F801" s="917"/>
      <c r="G801" s="935"/>
      <c r="H801" s="911"/>
      <c r="I801" s="256" t="s">
        <v>866</v>
      </c>
      <c r="J801" s="180">
        <v>2000</v>
      </c>
      <c r="K801" s="150" t="s">
        <v>20</v>
      </c>
      <c r="L801" s="150">
        <v>10</v>
      </c>
      <c r="M801" s="150" t="s">
        <v>21</v>
      </c>
      <c r="N801" s="150" t="s">
        <v>20</v>
      </c>
      <c r="O801" s="299">
        <v>6</v>
      </c>
      <c r="P801" s="150" t="s">
        <v>82</v>
      </c>
      <c r="Q801" s="150" t="s">
        <v>22</v>
      </c>
      <c r="R801" s="68">
        <f>J801*L801*O801</f>
        <v>120000</v>
      </c>
      <c r="S801" s="168"/>
      <c r="T801" s="7"/>
    </row>
    <row r="802" spans="1:20" s="169" customFormat="1" ht="15" customHeight="1">
      <c r="A802" s="23"/>
      <c r="B802" s="22"/>
      <c r="C802" s="22"/>
      <c r="D802" s="942"/>
      <c r="E802" s="923">
        <v>15323</v>
      </c>
      <c r="F802" s="923">
        <f>T855/1000</f>
        <v>10212.799999999999</v>
      </c>
      <c r="G802" s="38"/>
      <c r="H802" s="38"/>
      <c r="I802" s="20" t="s">
        <v>341</v>
      </c>
      <c r="J802" s="180">
        <v>100000</v>
      </c>
      <c r="K802" s="150" t="s">
        <v>20</v>
      </c>
      <c r="L802" s="150">
        <v>1</v>
      </c>
      <c r="M802" s="150" t="s">
        <v>34</v>
      </c>
      <c r="N802" s="150" t="s">
        <v>20</v>
      </c>
      <c r="O802" s="299">
        <v>2</v>
      </c>
      <c r="P802" s="150" t="s">
        <v>25</v>
      </c>
      <c r="Q802" s="150" t="s">
        <v>43</v>
      </c>
      <c r="R802" s="68">
        <f>J802*L802*O802</f>
        <v>200000</v>
      </c>
      <c r="S802" s="168"/>
      <c r="T802" s="7"/>
    </row>
    <row r="803" spans="1:20" s="169" customFormat="1" ht="15" customHeight="1">
      <c r="A803" s="23"/>
      <c r="B803" s="22"/>
      <c r="C803" s="22"/>
      <c r="D803" s="665"/>
      <c r="E803" s="917"/>
      <c r="F803" s="917"/>
      <c r="G803" s="38"/>
      <c r="H803" s="38"/>
      <c r="I803" s="256" t="s">
        <v>1208</v>
      </c>
      <c r="J803" s="180">
        <v>30000</v>
      </c>
      <c r="K803" s="150" t="s">
        <v>20</v>
      </c>
      <c r="L803" s="150">
        <v>1</v>
      </c>
      <c r="M803" s="150" t="s">
        <v>292</v>
      </c>
      <c r="N803" s="150"/>
      <c r="O803" s="150"/>
      <c r="P803" s="150"/>
      <c r="Q803" s="150" t="s">
        <v>22</v>
      </c>
      <c r="R803" s="68">
        <f>J803*L803</f>
        <v>30000</v>
      </c>
      <c r="S803" s="168"/>
      <c r="T803" s="7"/>
    </row>
    <row r="804" spans="1:20" s="169" customFormat="1" ht="15" customHeight="1">
      <c r="A804" s="23"/>
      <c r="B804" s="22"/>
      <c r="C804" s="22"/>
      <c r="D804" s="665"/>
      <c r="E804" s="917"/>
      <c r="F804" s="917"/>
      <c r="G804" s="38"/>
      <c r="H804" s="38"/>
      <c r="I804" s="256"/>
      <c r="J804" s="180"/>
      <c r="K804" s="150"/>
      <c r="L804" s="150"/>
      <c r="M804" s="150"/>
      <c r="N804" s="150"/>
      <c r="O804" s="150"/>
      <c r="P804" s="150"/>
      <c r="Q804" s="150"/>
      <c r="R804" s="68"/>
      <c r="S804" s="168"/>
      <c r="T804" s="7"/>
    </row>
    <row r="805" spans="1:20" s="169" customFormat="1" ht="15" hidden="1" customHeight="1">
      <c r="A805" s="23"/>
      <c r="B805" s="22"/>
      <c r="C805" s="22"/>
      <c r="D805" s="518"/>
      <c r="E805" s="504"/>
      <c r="F805" s="504"/>
      <c r="G805" s="38"/>
      <c r="H805" s="38"/>
      <c r="I805" s="256" t="s">
        <v>202</v>
      </c>
      <c r="J805" s="180">
        <v>15000</v>
      </c>
      <c r="K805" s="150" t="s">
        <v>20</v>
      </c>
      <c r="L805" s="150">
        <v>0</v>
      </c>
      <c r="M805" s="150" t="s">
        <v>21</v>
      </c>
      <c r="N805" s="150" t="s">
        <v>20</v>
      </c>
      <c r="O805" s="299">
        <v>1</v>
      </c>
      <c r="P805" s="150" t="s">
        <v>25</v>
      </c>
      <c r="Q805" s="150" t="s">
        <v>22</v>
      </c>
      <c r="R805" s="68">
        <f>J805*L805*O805</f>
        <v>0</v>
      </c>
      <c r="S805" s="331"/>
      <c r="T805" s="7"/>
    </row>
    <row r="806" spans="1:20" s="169" customFormat="1" ht="15" customHeight="1">
      <c r="A806" s="23"/>
      <c r="B806" s="22"/>
      <c r="C806" s="22"/>
      <c r="D806" s="522"/>
      <c r="E806" s="300"/>
      <c r="F806" s="300"/>
      <c r="G806" s="38"/>
      <c r="H806" s="38"/>
      <c r="I806" s="35"/>
      <c r="J806" s="180"/>
      <c r="K806" s="150"/>
      <c r="L806" s="150"/>
      <c r="M806" s="150"/>
      <c r="N806" s="150"/>
      <c r="O806" s="150"/>
      <c r="P806" s="150"/>
      <c r="Q806" s="150"/>
      <c r="R806" s="68"/>
      <c r="S806" s="168"/>
      <c r="T806" s="7"/>
    </row>
    <row r="807" spans="1:20" s="169" customFormat="1" ht="15" customHeight="1">
      <c r="A807" s="23"/>
      <c r="B807" s="22"/>
      <c r="C807" s="22"/>
      <c r="D807" s="522"/>
      <c r="E807" s="300"/>
      <c r="F807" s="300"/>
      <c r="G807" s="38"/>
      <c r="H807" s="38"/>
      <c r="I807" s="668" t="s">
        <v>342</v>
      </c>
      <c r="J807" s="298"/>
      <c r="K807" s="532"/>
      <c r="L807" s="532"/>
      <c r="M807" s="532"/>
      <c r="N807" s="532"/>
      <c r="O807" s="532"/>
      <c r="P807" s="532"/>
      <c r="Q807" s="532"/>
      <c r="R807" s="98">
        <f>SUM(R808:R809)</f>
        <v>2280000</v>
      </c>
      <c r="S807" s="168"/>
      <c r="T807" s="7"/>
    </row>
    <row r="808" spans="1:20" s="169" customFormat="1" ht="15" customHeight="1">
      <c r="A808" s="23"/>
      <c r="B808" s="22"/>
      <c r="C808" s="22"/>
      <c r="D808" s="522"/>
      <c r="E808" s="300"/>
      <c r="F808" s="300"/>
      <c r="G808" s="38"/>
      <c r="H808" s="38"/>
      <c r="I808" s="256" t="s">
        <v>190</v>
      </c>
      <c r="J808" s="180">
        <v>40000</v>
      </c>
      <c r="K808" s="150" t="s">
        <v>20</v>
      </c>
      <c r="L808" s="150">
        <v>1</v>
      </c>
      <c r="M808" s="150" t="s">
        <v>21</v>
      </c>
      <c r="N808" s="150" t="s">
        <v>20</v>
      </c>
      <c r="O808" s="299">
        <v>57</v>
      </c>
      <c r="P808" s="150" t="s">
        <v>25</v>
      </c>
      <c r="Q808" s="150" t="s">
        <v>43</v>
      </c>
      <c r="R808" s="68">
        <f>J808*L808*O808</f>
        <v>2280000</v>
      </c>
      <c r="S808" s="168"/>
      <c r="T808" s="7"/>
    </row>
    <row r="809" spans="1:20" s="169" customFormat="1" ht="15" hidden="1" customHeight="1">
      <c r="A809" s="23"/>
      <c r="B809" s="22"/>
      <c r="C809" s="22"/>
      <c r="D809" s="522"/>
      <c r="E809" s="300"/>
      <c r="F809" s="300"/>
      <c r="G809" s="38"/>
      <c r="H809" s="38"/>
      <c r="I809" s="256" t="s">
        <v>343</v>
      </c>
      <c r="J809" s="180">
        <v>15000</v>
      </c>
      <c r="K809" s="150" t="s">
        <v>20</v>
      </c>
      <c r="L809" s="150">
        <v>0</v>
      </c>
      <c r="M809" s="150" t="s">
        <v>21</v>
      </c>
      <c r="N809" s="150" t="s">
        <v>20</v>
      </c>
      <c r="O809" s="299">
        <v>1</v>
      </c>
      <c r="P809" s="150" t="s">
        <v>25</v>
      </c>
      <c r="Q809" s="150" t="s">
        <v>43</v>
      </c>
      <c r="R809" s="68">
        <f>J809*L809*O809</f>
        <v>0</v>
      </c>
      <c r="S809" s="168"/>
      <c r="T809" s="7"/>
    </row>
    <row r="810" spans="1:20" s="169" customFormat="1" ht="15" customHeight="1">
      <c r="A810" s="23"/>
      <c r="B810" s="22"/>
      <c r="C810" s="22"/>
      <c r="D810" s="522"/>
      <c r="E810" s="300"/>
      <c r="F810" s="300"/>
      <c r="G810" s="38"/>
      <c r="H810" s="38"/>
      <c r="I810" s="35"/>
      <c r="J810" s="180"/>
      <c r="K810" s="150"/>
      <c r="L810" s="150"/>
      <c r="M810" s="150"/>
      <c r="N810" s="150"/>
      <c r="O810" s="150"/>
      <c r="P810" s="150"/>
      <c r="Q810" s="150"/>
      <c r="R810" s="68"/>
      <c r="S810" s="168"/>
      <c r="T810" s="7"/>
    </row>
    <row r="811" spans="1:20" s="169" customFormat="1" ht="15" customHeight="1">
      <c r="A811" s="23"/>
      <c r="B811" s="23"/>
      <c r="C811" s="88"/>
      <c r="D811" s="88"/>
      <c r="E811" s="33"/>
      <c r="F811" s="33"/>
      <c r="G811" s="517"/>
      <c r="H811" s="502"/>
      <c r="I811" s="667" t="s">
        <v>344</v>
      </c>
      <c r="J811" s="79"/>
      <c r="K811" s="150"/>
      <c r="L811" s="150"/>
      <c r="M811" s="150"/>
      <c r="N811" s="150"/>
      <c r="O811" s="150"/>
      <c r="P811" s="150"/>
      <c r="Q811" s="150"/>
      <c r="R811" s="68">
        <f>SUM(R812:R814)</f>
        <v>2000000</v>
      </c>
      <c r="S811" s="168"/>
      <c r="T811" s="7"/>
    </row>
    <row r="812" spans="1:20" s="169" customFormat="1" ht="15" customHeight="1">
      <c r="A812" s="23"/>
      <c r="B812" s="23"/>
      <c r="C812" s="88"/>
      <c r="D812" s="522"/>
      <c r="E812" s="33"/>
      <c r="F812" s="33"/>
      <c r="G812" s="517"/>
      <c r="H812" s="502"/>
      <c r="I812" s="35" t="s">
        <v>345</v>
      </c>
      <c r="J812" s="180">
        <v>8000</v>
      </c>
      <c r="K812" s="150" t="s">
        <v>20</v>
      </c>
      <c r="L812" s="150">
        <v>40</v>
      </c>
      <c r="M812" s="150" t="s">
        <v>21</v>
      </c>
      <c r="N812" s="150" t="s">
        <v>20</v>
      </c>
      <c r="O812" s="150">
        <v>4</v>
      </c>
      <c r="P812" s="150" t="s">
        <v>25</v>
      </c>
      <c r="Q812" s="150" t="s">
        <v>43</v>
      </c>
      <c r="R812" s="68">
        <f>J812*L812*O812</f>
        <v>1280000</v>
      </c>
      <c r="S812" s="168"/>
      <c r="T812" s="7"/>
    </row>
    <row r="813" spans="1:20" s="169" customFormat="1" ht="14.25" customHeight="1">
      <c r="A813" s="23"/>
      <c r="B813" s="23"/>
      <c r="C813" s="88"/>
      <c r="D813" s="88"/>
      <c r="E813" s="33"/>
      <c r="F813" s="33"/>
      <c r="G813" s="517"/>
      <c r="H813" s="530"/>
      <c r="I813" s="35" t="s">
        <v>868</v>
      </c>
      <c r="J813" s="180">
        <v>100000</v>
      </c>
      <c r="K813" s="150" t="s">
        <v>20</v>
      </c>
      <c r="L813" s="150">
        <v>4</v>
      </c>
      <c r="M813" s="150" t="s">
        <v>25</v>
      </c>
      <c r="N813" s="150"/>
      <c r="O813" s="150"/>
      <c r="P813" s="150"/>
      <c r="Q813" s="150" t="s">
        <v>43</v>
      </c>
      <c r="R813" s="68">
        <f>J813*L813</f>
        <v>400000</v>
      </c>
      <c r="S813" s="168"/>
      <c r="T813" s="7"/>
    </row>
    <row r="814" spans="1:20" s="169" customFormat="1" ht="14.25" customHeight="1">
      <c r="A814" s="23"/>
      <c r="B814" s="23"/>
      <c r="C814" s="88"/>
      <c r="D814" s="88"/>
      <c r="E814" s="33"/>
      <c r="F814" s="33"/>
      <c r="G814" s="517"/>
      <c r="H814" s="530"/>
      <c r="I814" s="35" t="s">
        <v>347</v>
      </c>
      <c r="J814" s="180">
        <v>2000</v>
      </c>
      <c r="K814" s="150" t="s">
        <v>20</v>
      </c>
      <c r="L814" s="150">
        <v>40</v>
      </c>
      <c r="M814" s="150" t="s">
        <v>21</v>
      </c>
      <c r="N814" s="150" t="s">
        <v>20</v>
      </c>
      <c r="O814" s="150">
        <v>4</v>
      </c>
      <c r="P814" s="150" t="s">
        <v>25</v>
      </c>
      <c r="Q814" s="150" t="s">
        <v>43</v>
      </c>
      <c r="R814" s="68">
        <f>J814*L814*O814</f>
        <v>320000</v>
      </c>
      <c r="S814" s="168"/>
      <c r="T814" s="7"/>
    </row>
    <row r="815" spans="1:20" s="169" customFormat="1" ht="15" customHeight="1">
      <c r="A815" s="23"/>
      <c r="B815" s="22"/>
      <c r="C815" s="22"/>
      <c r="D815" s="522"/>
      <c r="E815" s="300"/>
      <c r="F815" s="300"/>
      <c r="G815" s="38"/>
      <c r="H815" s="38"/>
      <c r="I815" s="35"/>
      <c r="J815" s="254"/>
      <c r="K815" s="150"/>
      <c r="L815" s="150"/>
      <c r="M815" s="150"/>
      <c r="N815" s="150"/>
      <c r="O815" s="150"/>
      <c r="P815" s="150"/>
      <c r="Q815" s="150"/>
      <c r="R815" s="87"/>
      <c r="S815" s="168"/>
      <c r="T815" s="7"/>
    </row>
    <row r="816" spans="1:20" s="169" customFormat="1" ht="15" customHeight="1">
      <c r="A816" s="23"/>
      <c r="B816" s="22"/>
      <c r="C816" s="22"/>
      <c r="D816" s="522"/>
      <c r="E816" s="300"/>
      <c r="F816" s="300"/>
      <c r="G816" s="38"/>
      <c r="H816" s="38"/>
      <c r="I816" s="667" t="s">
        <v>630</v>
      </c>
      <c r="J816" s="79"/>
      <c r="K816" s="20"/>
      <c r="L816" s="20"/>
      <c r="M816" s="20"/>
      <c r="N816" s="20"/>
      <c r="O816" s="20"/>
      <c r="P816" s="20"/>
      <c r="Q816" s="20"/>
      <c r="R816" s="171">
        <f>SUM(R817:R820)</f>
        <v>850000</v>
      </c>
      <c r="S816" s="168"/>
      <c r="T816" s="7"/>
    </row>
    <row r="817" spans="1:20" s="169" customFormat="1" ht="15" customHeight="1">
      <c r="A817" s="23"/>
      <c r="B817" s="22"/>
      <c r="C817" s="22"/>
      <c r="D817" s="522"/>
      <c r="E817" s="300"/>
      <c r="F817" s="300"/>
      <c r="G817" s="38"/>
      <c r="H817" s="38"/>
      <c r="I817" s="35" t="s">
        <v>348</v>
      </c>
      <c r="J817" s="180">
        <v>60000</v>
      </c>
      <c r="K817" s="202" t="s">
        <v>20</v>
      </c>
      <c r="L817" s="127">
        <v>10</v>
      </c>
      <c r="M817" s="202" t="s">
        <v>21</v>
      </c>
      <c r="N817" s="202" t="s">
        <v>20</v>
      </c>
      <c r="O817" s="127">
        <v>1</v>
      </c>
      <c r="P817" s="202" t="s">
        <v>25</v>
      </c>
      <c r="Q817" s="202" t="s">
        <v>43</v>
      </c>
      <c r="R817" s="68">
        <f>J817*L817*O817</f>
        <v>600000</v>
      </c>
      <c r="S817" s="168"/>
      <c r="T817" s="7"/>
    </row>
    <row r="818" spans="1:20" s="169" customFormat="1" ht="15" customHeight="1">
      <c r="A818" s="23"/>
      <c r="B818" s="22"/>
      <c r="C818" s="22"/>
      <c r="D818" s="522"/>
      <c r="E818" s="300"/>
      <c r="F818" s="300"/>
      <c r="G818" s="38"/>
      <c r="H818" s="38"/>
      <c r="I818" s="35" t="s">
        <v>349</v>
      </c>
      <c r="J818" s="180">
        <v>8000</v>
      </c>
      <c r="K818" s="202" t="s">
        <v>20</v>
      </c>
      <c r="L818" s="127">
        <v>15</v>
      </c>
      <c r="M818" s="202" t="s">
        <v>21</v>
      </c>
      <c r="N818" s="202" t="s">
        <v>20</v>
      </c>
      <c r="O818" s="127">
        <v>1</v>
      </c>
      <c r="P818" s="202" t="s">
        <v>25</v>
      </c>
      <c r="Q818" s="202" t="s">
        <v>43</v>
      </c>
      <c r="R818" s="68">
        <f>J818*L818*O818</f>
        <v>120000</v>
      </c>
      <c r="S818" s="168"/>
      <c r="T818" s="7"/>
    </row>
    <row r="819" spans="1:20" s="169" customFormat="1" ht="15" customHeight="1">
      <c r="A819" s="23"/>
      <c r="B819" s="22"/>
      <c r="C819" s="22"/>
      <c r="D819" s="522"/>
      <c r="E819" s="300"/>
      <c r="F819" s="300"/>
      <c r="G819" s="38"/>
      <c r="H819" s="38"/>
      <c r="I819" s="35" t="s">
        <v>350</v>
      </c>
      <c r="J819" s="180">
        <v>100000</v>
      </c>
      <c r="K819" s="202" t="s">
        <v>20</v>
      </c>
      <c r="L819" s="127">
        <v>1</v>
      </c>
      <c r="M819" s="202" t="s">
        <v>218</v>
      </c>
      <c r="N819" s="202" t="s">
        <v>20</v>
      </c>
      <c r="O819" s="127">
        <v>1</v>
      </c>
      <c r="P819" s="202" t="s">
        <v>25</v>
      </c>
      <c r="Q819" s="202" t="s">
        <v>43</v>
      </c>
      <c r="R819" s="68">
        <f>J819*L819*O819</f>
        <v>100000</v>
      </c>
      <c r="S819" s="168"/>
      <c r="T819" s="7"/>
    </row>
    <row r="820" spans="1:20" s="169" customFormat="1" ht="15" customHeight="1">
      <c r="A820" s="23"/>
      <c r="B820" s="22"/>
      <c r="C820" s="22"/>
      <c r="D820" s="522"/>
      <c r="E820" s="300"/>
      <c r="F820" s="300"/>
      <c r="G820" s="38"/>
      <c r="H820" s="38"/>
      <c r="I820" s="35" t="s">
        <v>351</v>
      </c>
      <c r="J820" s="180">
        <v>2000</v>
      </c>
      <c r="K820" s="202" t="s">
        <v>20</v>
      </c>
      <c r="L820" s="127">
        <v>15</v>
      </c>
      <c r="M820" s="202" t="s">
        <v>21</v>
      </c>
      <c r="N820" s="202" t="s">
        <v>20</v>
      </c>
      <c r="O820" s="127">
        <v>1</v>
      </c>
      <c r="P820" s="202" t="s">
        <v>25</v>
      </c>
      <c r="Q820" s="202" t="s">
        <v>43</v>
      </c>
      <c r="R820" s="68">
        <f>J820*L820*O820</f>
        <v>30000</v>
      </c>
      <c r="S820" s="168"/>
      <c r="T820" s="7"/>
    </row>
    <row r="821" spans="1:20" s="169" customFormat="1" ht="15" customHeight="1">
      <c r="A821" s="23"/>
      <c r="B821" s="22"/>
      <c r="C821" s="22"/>
      <c r="D821" s="522"/>
      <c r="E821" s="300"/>
      <c r="F821" s="300"/>
      <c r="G821" s="38"/>
      <c r="H821" s="38"/>
      <c r="I821" s="35"/>
      <c r="J821" s="180"/>
      <c r="K821" s="202"/>
      <c r="L821" s="127"/>
      <c r="M821" s="202"/>
      <c r="N821" s="202"/>
      <c r="O821" s="127"/>
      <c r="P821" s="202"/>
      <c r="Q821" s="202"/>
      <c r="R821" s="68"/>
      <c r="S821" s="168"/>
      <c r="T821" s="7"/>
    </row>
    <row r="822" spans="1:20" s="169" customFormat="1" ht="15" hidden="1" customHeight="1">
      <c r="A822" s="23"/>
      <c r="B822" s="22"/>
      <c r="C822" s="22"/>
      <c r="D822" s="522"/>
      <c r="E822" s="300"/>
      <c r="F822" s="300"/>
      <c r="G822" s="38"/>
      <c r="H822" s="38"/>
      <c r="I822" s="555" t="s">
        <v>869</v>
      </c>
      <c r="J822" s="180"/>
      <c r="K822" s="150"/>
      <c r="L822" s="150"/>
      <c r="M822" s="150"/>
      <c r="N822" s="150"/>
      <c r="O822" s="150"/>
      <c r="P822" s="150"/>
      <c r="Q822" s="150"/>
      <c r="R822" s="64">
        <f>SUM(R823:R832)</f>
        <v>100000</v>
      </c>
      <c r="S822" s="168"/>
      <c r="T822" s="7"/>
    </row>
    <row r="823" spans="1:20" s="169" customFormat="1" ht="15" hidden="1" customHeight="1">
      <c r="A823" s="23"/>
      <c r="B823" s="22"/>
      <c r="C823" s="22"/>
      <c r="D823" s="522"/>
      <c r="E823" s="300"/>
      <c r="F823" s="300"/>
      <c r="G823" s="38"/>
      <c r="H823" s="38"/>
      <c r="I823" s="256" t="s">
        <v>221</v>
      </c>
      <c r="J823" s="180">
        <v>0</v>
      </c>
      <c r="K823" s="150" t="s">
        <v>24</v>
      </c>
      <c r="L823" s="150">
        <v>35</v>
      </c>
      <c r="M823" s="150" t="s">
        <v>21</v>
      </c>
      <c r="N823" s="150" t="s">
        <v>24</v>
      </c>
      <c r="O823" s="150">
        <v>7</v>
      </c>
      <c r="P823" s="150" t="s">
        <v>631</v>
      </c>
      <c r="Q823" s="150" t="s">
        <v>22</v>
      </c>
      <c r="R823" s="64">
        <f>J823*L823*O823</f>
        <v>0</v>
      </c>
      <c r="S823" s="168"/>
      <c r="T823" s="7"/>
    </row>
    <row r="824" spans="1:20" s="169" customFormat="1" ht="15" hidden="1" customHeight="1">
      <c r="A824" s="23"/>
      <c r="B824" s="22"/>
      <c r="C824" s="22"/>
      <c r="D824" s="522"/>
      <c r="E824" s="300"/>
      <c r="F824" s="300"/>
      <c r="G824" s="38"/>
      <c r="H824" s="38"/>
      <c r="I824" s="256" t="s">
        <v>164</v>
      </c>
      <c r="J824" s="180">
        <v>0</v>
      </c>
      <c r="K824" s="150" t="s">
        <v>24</v>
      </c>
      <c r="L824" s="150">
        <v>35</v>
      </c>
      <c r="M824" s="150" t="s">
        <v>21</v>
      </c>
      <c r="N824" s="150" t="s">
        <v>24</v>
      </c>
      <c r="O824" s="150">
        <v>2</v>
      </c>
      <c r="P824" s="150" t="s">
        <v>65</v>
      </c>
      <c r="Q824" s="301" t="s">
        <v>22</v>
      </c>
      <c r="R824" s="64">
        <f>J824*L824*O824</f>
        <v>0</v>
      </c>
      <c r="S824" s="168"/>
      <c r="T824" s="7"/>
    </row>
    <row r="825" spans="1:20" s="169" customFormat="1" ht="15" hidden="1" customHeight="1">
      <c r="A825" s="23"/>
      <c r="B825" s="22"/>
      <c r="C825" s="22"/>
      <c r="D825" s="522"/>
      <c r="E825" s="300"/>
      <c r="F825" s="300"/>
      <c r="G825" s="38"/>
      <c r="H825" s="38"/>
      <c r="I825" s="256" t="s">
        <v>187</v>
      </c>
      <c r="J825" s="180">
        <v>0</v>
      </c>
      <c r="K825" s="150" t="s">
        <v>24</v>
      </c>
      <c r="L825" s="150">
        <v>35</v>
      </c>
      <c r="M825" s="150" t="s">
        <v>21</v>
      </c>
      <c r="N825" s="150"/>
      <c r="O825" s="150"/>
      <c r="P825" s="150"/>
      <c r="Q825" s="150" t="s">
        <v>22</v>
      </c>
      <c r="R825" s="64">
        <f>J825*L825</f>
        <v>0</v>
      </c>
      <c r="S825" s="168"/>
      <c r="T825" s="7"/>
    </row>
    <row r="826" spans="1:20" s="169" customFormat="1" ht="15" hidden="1" customHeight="1">
      <c r="A826" s="23"/>
      <c r="B826" s="22"/>
      <c r="C826" s="22"/>
      <c r="D826" s="522"/>
      <c r="E826" s="300"/>
      <c r="F826" s="300"/>
      <c r="G826" s="38"/>
      <c r="H826" s="38"/>
      <c r="I826" s="256" t="s">
        <v>632</v>
      </c>
      <c r="J826" s="180">
        <v>0</v>
      </c>
      <c r="K826" s="150" t="s">
        <v>24</v>
      </c>
      <c r="L826" s="150">
        <v>1</v>
      </c>
      <c r="M826" s="150" t="s">
        <v>180</v>
      </c>
      <c r="N826" s="150"/>
      <c r="O826" s="150"/>
      <c r="P826" s="150"/>
      <c r="Q826" s="150" t="s">
        <v>22</v>
      </c>
      <c r="R826" s="64">
        <v>100000</v>
      </c>
      <c r="S826" s="168"/>
      <c r="T826" s="7"/>
    </row>
    <row r="827" spans="1:20" s="169" customFormat="1" ht="15" hidden="1" customHeight="1">
      <c r="A827" s="23"/>
      <c r="B827" s="22"/>
      <c r="C827" s="22"/>
      <c r="D827" s="522"/>
      <c r="E827" s="300"/>
      <c r="F827" s="300"/>
      <c r="G827" s="38"/>
      <c r="H827" s="38"/>
      <c r="I827" s="256" t="s">
        <v>633</v>
      </c>
      <c r="J827" s="180">
        <v>0</v>
      </c>
      <c r="K827" s="150" t="s">
        <v>24</v>
      </c>
      <c r="L827" s="150">
        <v>7</v>
      </c>
      <c r="M827" s="150" t="s">
        <v>458</v>
      </c>
      <c r="N827" s="150" t="s">
        <v>24</v>
      </c>
      <c r="O827" s="150">
        <v>2</v>
      </c>
      <c r="P827" s="150" t="s">
        <v>260</v>
      </c>
      <c r="Q827" s="150" t="s">
        <v>22</v>
      </c>
      <c r="R827" s="64">
        <f>J827*L827*O827</f>
        <v>0</v>
      </c>
      <c r="S827" s="168"/>
      <c r="T827" s="7"/>
    </row>
    <row r="828" spans="1:20" s="169" customFormat="1" ht="15" hidden="1" customHeight="1">
      <c r="A828" s="23"/>
      <c r="B828" s="22"/>
      <c r="C828" s="22"/>
      <c r="D828" s="522"/>
      <c r="E828" s="300"/>
      <c r="F828" s="300"/>
      <c r="G828" s="38"/>
      <c r="H828" s="38"/>
      <c r="I828" s="256" t="s">
        <v>634</v>
      </c>
      <c r="J828" s="180">
        <v>0</v>
      </c>
      <c r="K828" s="150" t="s">
        <v>24</v>
      </c>
      <c r="L828" s="150">
        <v>35</v>
      </c>
      <c r="M828" s="150" t="s">
        <v>21</v>
      </c>
      <c r="N828" s="150"/>
      <c r="O828" s="150"/>
      <c r="P828" s="150"/>
      <c r="Q828" s="150" t="s">
        <v>22</v>
      </c>
      <c r="R828" s="64">
        <f>J828*L828</f>
        <v>0</v>
      </c>
      <c r="S828" s="168"/>
      <c r="T828" s="7"/>
    </row>
    <row r="829" spans="1:20" s="169" customFormat="1" ht="15" hidden="1" customHeight="1">
      <c r="A829" s="23"/>
      <c r="B829" s="22"/>
      <c r="C829" s="22"/>
      <c r="D829" s="522"/>
      <c r="E829" s="300"/>
      <c r="F829" s="300"/>
      <c r="G829" s="38"/>
      <c r="H829" s="38"/>
      <c r="I829" s="256" t="s">
        <v>635</v>
      </c>
      <c r="J829" s="180">
        <v>0</v>
      </c>
      <c r="K829" s="150" t="s">
        <v>24</v>
      </c>
      <c r="L829" s="150">
        <v>35</v>
      </c>
      <c r="M829" s="150" t="s">
        <v>21</v>
      </c>
      <c r="N829" s="150"/>
      <c r="O829" s="150"/>
      <c r="P829" s="150"/>
      <c r="Q829" s="150" t="s">
        <v>22</v>
      </c>
      <c r="R829" s="64">
        <f>J829*L829</f>
        <v>0</v>
      </c>
      <c r="S829" s="168"/>
      <c r="T829" s="7"/>
    </row>
    <row r="830" spans="1:20" s="169" customFormat="1" ht="15" hidden="1" customHeight="1">
      <c r="A830" s="23"/>
      <c r="B830" s="22"/>
      <c r="C830" s="22"/>
      <c r="D830" s="522"/>
      <c r="E830" s="300"/>
      <c r="F830" s="300"/>
      <c r="G830" s="38"/>
      <c r="H830" s="38"/>
      <c r="I830" s="256" t="s">
        <v>636</v>
      </c>
      <c r="J830" s="180">
        <v>0</v>
      </c>
      <c r="K830" s="150" t="s">
        <v>24</v>
      </c>
      <c r="L830" s="150">
        <v>35</v>
      </c>
      <c r="M830" s="150" t="s">
        <v>21</v>
      </c>
      <c r="N830" s="150"/>
      <c r="O830" s="150"/>
      <c r="P830" s="150"/>
      <c r="Q830" s="150" t="s">
        <v>22</v>
      </c>
      <c r="R830" s="64">
        <f>J830*L830</f>
        <v>0</v>
      </c>
      <c r="S830" s="168"/>
      <c r="T830" s="7"/>
    </row>
    <row r="831" spans="1:20" s="169" customFormat="1" ht="15" hidden="1" customHeight="1">
      <c r="A831" s="23"/>
      <c r="B831" s="22"/>
      <c r="C831" s="22"/>
      <c r="D831" s="522"/>
      <c r="E831" s="300"/>
      <c r="F831" s="300"/>
      <c r="G831" s="38"/>
      <c r="H831" s="38"/>
      <c r="I831" s="256" t="s">
        <v>637</v>
      </c>
      <c r="J831" s="180">
        <v>0</v>
      </c>
      <c r="K831" s="150" t="s">
        <v>24</v>
      </c>
      <c r="L831" s="150">
        <v>1</v>
      </c>
      <c r="M831" s="150" t="s">
        <v>65</v>
      </c>
      <c r="N831" s="150"/>
      <c r="O831" s="150"/>
      <c r="P831" s="150"/>
      <c r="Q831" s="150" t="s">
        <v>22</v>
      </c>
      <c r="R831" s="64">
        <f>J831*L831</f>
        <v>0</v>
      </c>
      <c r="S831" s="168"/>
      <c r="T831" s="7"/>
    </row>
    <row r="832" spans="1:20" s="169" customFormat="1" ht="15" hidden="1" customHeight="1">
      <c r="A832" s="23"/>
      <c r="B832" s="22"/>
      <c r="C832" s="22"/>
      <c r="D832" s="522"/>
      <c r="E832" s="300"/>
      <c r="F832" s="300"/>
      <c r="G832" s="38"/>
      <c r="H832" s="38"/>
      <c r="I832" s="256" t="s">
        <v>638</v>
      </c>
      <c r="J832" s="298">
        <v>0</v>
      </c>
      <c r="K832" s="532" t="s">
        <v>24</v>
      </c>
      <c r="L832" s="60">
        <v>15</v>
      </c>
      <c r="M832" s="532" t="s">
        <v>21</v>
      </c>
      <c r="N832" s="532" t="s">
        <v>24</v>
      </c>
      <c r="O832" s="60">
        <v>3</v>
      </c>
      <c r="P832" s="532" t="s">
        <v>260</v>
      </c>
      <c r="Q832" s="150" t="s">
        <v>22</v>
      </c>
      <c r="R832" s="71">
        <f>J832*L832*O832</f>
        <v>0</v>
      </c>
      <c r="S832" s="168"/>
      <c r="T832" s="7"/>
    </row>
    <row r="833" spans="1:20" s="169" customFormat="1" ht="15" hidden="1" customHeight="1">
      <c r="A833" s="23"/>
      <c r="B833" s="22"/>
      <c r="C833" s="22"/>
      <c r="D833" s="522"/>
      <c r="E833" s="300"/>
      <c r="F833" s="300"/>
      <c r="G833" s="38"/>
      <c r="H833" s="38"/>
      <c r="I833" s="667" t="s">
        <v>716</v>
      </c>
      <c r="J833" s="79"/>
      <c r="K833" s="20"/>
      <c r="L833" s="20"/>
      <c r="M833" s="20"/>
      <c r="N833" s="20"/>
      <c r="O833" s="20"/>
      <c r="P833" s="20"/>
      <c r="Q833" s="20"/>
      <c r="R833" s="171">
        <f>SUM(R834:R836)</f>
        <v>0</v>
      </c>
      <c r="S833" s="168"/>
      <c r="T833" s="7"/>
    </row>
    <row r="834" spans="1:20" s="169" customFormat="1" ht="15" hidden="1" customHeight="1">
      <c r="A834" s="23"/>
      <c r="B834" s="22"/>
      <c r="C834" s="22"/>
      <c r="D834" s="522"/>
      <c r="E834" s="300"/>
      <c r="F834" s="300"/>
      <c r="G834" s="38"/>
      <c r="H834" s="38"/>
      <c r="I834" s="35" t="s">
        <v>345</v>
      </c>
      <c r="J834" s="180">
        <v>10000</v>
      </c>
      <c r="K834" s="202" t="s">
        <v>24</v>
      </c>
      <c r="L834" s="127">
        <v>43</v>
      </c>
      <c r="M834" s="202" t="s">
        <v>21</v>
      </c>
      <c r="N834" s="202" t="s">
        <v>24</v>
      </c>
      <c r="O834" s="127">
        <v>0</v>
      </c>
      <c r="P834" s="202" t="s">
        <v>65</v>
      </c>
      <c r="Q834" s="202" t="s">
        <v>22</v>
      </c>
      <c r="R834" s="68">
        <f>J834*L834*O834</f>
        <v>0</v>
      </c>
      <c r="S834" s="168"/>
      <c r="T834" s="7"/>
    </row>
    <row r="835" spans="1:20" s="169" customFormat="1" ht="15" hidden="1" customHeight="1">
      <c r="A835" s="23"/>
      <c r="B835" s="22"/>
      <c r="C835" s="22"/>
      <c r="D835" s="522"/>
      <c r="E835" s="300"/>
      <c r="F835" s="300"/>
      <c r="G835" s="38"/>
      <c r="H835" s="38"/>
      <c r="I835" s="35" t="s">
        <v>346</v>
      </c>
      <c r="J835" s="180">
        <v>100000</v>
      </c>
      <c r="K835" s="202" t="s">
        <v>24</v>
      </c>
      <c r="L835" s="127">
        <v>1</v>
      </c>
      <c r="M835" s="202" t="s">
        <v>218</v>
      </c>
      <c r="N835" s="202" t="s">
        <v>24</v>
      </c>
      <c r="O835" s="127">
        <v>0</v>
      </c>
      <c r="P835" s="202" t="s">
        <v>65</v>
      </c>
      <c r="Q835" s="202" t="s">
        <v>22</v>
      </c>
      <c r="R835" s="68">
        <f>J835*L835*O835</f>
        <v>0</v>
      </c>
      <c r="S835" s="168"/>
      <c r="T835" s="7"/>
    </row>
    <row r="836" spans="1:20" s="169" customFormat="1" ht="15" hidden="1" customHeight="1">
      <c r="A836" s="23"/>
      <c r="B836" s="22"/>
      <c r="C836" s="22"/>
      <c r="D836" s="522"/>
      <c r="E836" s="300"/>
      <c r="F836" s="300"/>
      <c r="G836" s="38"/>
      <c r="H836" s="38"/>
      <c r="I836" s="35" t="s">
        <v>347</v>
      </c>
      <c r="J836" s="180">
        <v>3000</v>
      </c>
      <c r="K836" s="202" t="s">
        <v>24</v>
      </c>
      <c r="L836" s="127">
        <v>43</v>
      </c>
      <c r="M836" s="202" t="s">
        <v>21</v>
      </c>
      <c r="N836" s="202" t="s">
        <v>24</v>
      </c>
      <c r="O836" s="127">
        <v>0</v>
      </c>
      <c r="P836" s="202" t="s">
        <v>65</v>
      </c>
      <c r="Q836" s="202" t="s">
        <v>22</v>
      </c>
      <c r="R836" s="68">
        <f>J836*L836*O836</f>
        <v>0</v>
      </c>
      <c r="S836" s="168"/>
      <c r="T836" s="7"/>
    </row>
    <row r="837" spans="1:20" s="169" customFormat="1" ht="15" customHeight="1">
      <c r="A837" s="23"/>
      <c r="B837" s="22"/>
      <c r="C837" s="22"/>
      <c r="D837" s="522"/>
      <c r="E837" s="300"/>
      <c r="F837" s="300"/>
      <c r="G837" s="38"/>
      <c r="H837" s="38"/>
      <c r="I837" s="667" t="s">
        <v>870</v>
      </c>
      <c r="J837" s="137"/>
      <c r="K837" s="150"/>
      <c r="L837" s="150"/>
      <c r="M837" s="150"/>
      <c r="N837" s="150"/>
      <c r="O837" s="150"/>
      <c r="P837" s="150"/>
      <c r="Q837" s="150"/>
      <c r="R837" s="64">
        <f>SUM(R838:R838)</f>
        <v>300000</v>
      </c>
      <c r="S837" s="168"/>
      <c r="T837" s="7"/>
    </row>
    <row r="838" spans="1:20" s="169" customFormat="1" ht="15" customHeight="1">
      <c r="A838" s="23"/>
      <c r="B838" s="22"/>
      <c r="C838" s="22"/>
      <c r="D838" s="522"/>
      <c r="E838" s="300"/>
      <c r="F838" s="300"/>
      <c r="G838" s="38"/>
      <c r="H838" s="38"/>
      <c r="I838" s="35" t="s">
        <v>717</v>
      </c>
      <c r="J838" s="180">
        <v>300000</v>
      </c>
      <c r="K838" s="150" t="s">
        <v>20</v>
      </c>
      <c r="L838" s="150">
        <v>1</v>
      </c>
      <c r="M838" s="150" t="s">
        <v>34</v>
      </c>
      <c r="N838" s="150" t="s">
        <v>20</v>
      </c>
      <c r="O838" s="150">
        <v>1</v>
      </c>
      <c r="P838" s="150" t="s">
        <v>25</v>
      </c>
      <c r="Q838" s="150" t="s">
        <v>43</v>
      </c>
      <c r="R838" s="64">
        <f>J838*L838*O838</f>
        <v>300000</v>
      </c>
      <c r="S838" s="168"/>
      <c r="T838" s="7"/>
    </row>
    <row r="839" spans="1:20" s="169" customFormat="1" ht="15" customHeight="1">
      <c r="A839" s="23"/>
      <c r="B839" s="22"/>
      <c r="C839" s="22"/>
      <c r="D839" s="522"/>
      <c r="E839" s="300"/>
      <c r="F839" s="300"/>
      <c r="G839" s="38"/>
      <c r="H839" s="38"/>
      <c r="I839" s="35"/>
      <c r="J839" s="180"/>
      <c r="K839" s="202"/>
      <c r="L839" s="127"/>
      <c r="M839" s="202"/>
      <c r="N839" s="202"/>
      <c r="O839" s="127"/>
      <c r="P839" s="202"/>
      <c r="Q839" s="202"/>
      <c r="R839" s="64"/>
      <c r="S839" s="168"/>
      <c r="T839" s="7"/>
    </row>
    <row r="840" spans="1:20" s="169" customFormat="1" ht="15" customHeight="1">
      <c r="A840" s="23"/>
      <c r="B840" s="22"/>
      <c r="C840" s="22"/>
      <c r="D840" s="646"/>
      <c r="E840" s="300"/>
      <c r="F840" s="300"/>
      <c r="G840" s="38"/>
      <c r="H840" s="38"/>
      <c r="I840" s="667" t="s">
        <v>871</v>
      </c>
      <c r="J840" s="137"/>
      <c r="K840" s="150"/>
      <c r="L840" s="150"/>
      <c r="M840" s="150"/>
      <c r="N840" s="150"/>
      <c r="O840" s="150"/>
      <c r="P840" s="150"/>
      <c r="Q840" s="150"/>
      <c r="R840" s="64">
        <f>SUM(R841:R841)</f>
        <v>240000</v>
      </c>
      <c r="S840" s="168"/>
      <c r="T840" s="7"/>
    </row>
    <row r="841" spans="1:20" s="169" customFormat="1" ht="15" customHeight="1">
      <c r="A841" s="23"/>
      <c r="B841" s="22"/>
      <c r="C841" s="22"/>
      <c r="D841" s="646"/>
      <c r="E841" s="300"/>
      <c r="F841" s="300"/>
      <c r="G841" s="38"/>
      <c r="H841" s="38"/>
      <c r="I841" s="35" t="s">
        <v>163</v>
      </c>
      <c r="J841" s="180">
        <v>10000</v>
      </c>
      <c r="K841" s="150" t="s">
        <v>20</v>
      </c>
      <c r="L841" s="150">
        <v>12</v>
      </c>
      <c r="M841" s="150" t="s">
        <v>21</v>
      </c>
      <c r="N841" s="150" t="s">
        <v>20</v>
      </c>
      <c r="O841" s="150">
        <v>2</v>
      </c>
      <c r="P841" s="150" t="s">
        <v>25</v>
      </c>
      <c r="Q841" s="150" t="s">
        <v>43</v>
      </c>
      <c r="R841" s="64">
        <f>J841*L841*O841</f>
        <v>240000</v>
      </c>
      <c r="S841" s="168"/>
      <c r="T841" s="7"/>
    </row>
    <row r="842" spans="1:20" s="169" customFormat="1" ht="15" customHeight="1">
      <c r="A842" s="23"/>
      <c r="B842" s="22"/>
      <c r="C842" s="22"/>
      <c r="D842" s="646"/>
      <c r="E842" s="300"/>
      <c r="F842" s="300"/>
      <c r="G842" s="38"/>
      <c r="H842" s="38"/>
      <c r="I842" s="35"/>
      <c r="J842" s="180"/>
      <c r="K842" s="202"/>
      <c r="L842" s="127"/>
      <c r="M842" s="202"/>
      <c r="N842" s="202"/>
      <c r="O842" s="127"/>
      <c r="P842" s="202"/>
      <c r="Q842" s="202"/>
      <c r="R842" s="64"/>
      <c r="S842" s="168"/>
      <c r="T842" s="7"/>
    </row>
    <row r="843" spans="1:20" s="169" customFormat="1" ht="15" customHeight="1">
      <c r="A843" s="23"/>
      <c r="B843" s="22"/>
      <c r="C843" s="22"/>
      <c r="D843" s="646"/>
      <c r="E843" s="300"/>
      <c r="F843" s="300"/>
      <c r="G843" s="38"/>
      <c r="H843" s="38"/>
      <c r="I843" s="35"/>
      <c r="J843" s="180"/>
      <c r="K843" s="202"/>
      <c r="L843" s="127"/>
      <c r="M843" s="202"/>
      <c r="N843" s="202"/>
      <c r="O843" s="127"/>
      <c r="P843" s="202"/>
      <c r="Q843" s="202"/>
      <c r="R843" s="64"/>
      <c r="S843" s="168"/>
      <c r="T843" s="7"/>
    </row>
    <row r="844" spans="1:20" s="169" customFormat="1" ht="15" customHeight="1">
      <c r="A844" s="23"/>
      <c r="B844" s="22"/>
      <c r="C844" s="22"/>
      <c r="D844" s="522"/>
      <c r="E844" s="300"/>
      <c r="F844" s="300"/>
      <c r="G844" s="38"/>
      <c r="H844" s="38"/>
      <c r="I844" s="668" t="s">
        <v>352</v>
      </c>
      <c r="J844" s="298"/>
      <c r="K844" s="532"/>
      <c r="L844" s="532"/>
      <c r="M844" s="532"/>
      <c r="N844" s="532"/>
      <c r="O844" s="532"/>
      <c r="P844" s="532"/>
      <c r="Q844" s="532"/>
      <c r="R844" s="71">
        <f>SUM(R845)</f>
        <v>1000000</v>
      </c>
      <c r="S844" s="168"/>
      <c r="T844" s="7"/>
    </row>
    <row r="845" spans="1:20" s="169" customFormat="1" ht="15" customHeight="1">
      <c r="A845" s="23"/>
      <c r="B845" s="22"/>
      <c r="C845" s="22"/>
      <c r="D845" s="522"/>
      <c r="E845" s="300"/>
      <c r="F845" s="300"/>
      <c r="G845" s="38"/>
      <c r="H845" s="38"/>
      <c r="I845" s="256" t="s">
        <v>353</v>
      </c>
      <c r="J845" s="180">
        <v>1000000</v>
      </c>
      <c r="K845" s="150" t="s">
        <v>24</v>
      </c>
      <c r="L845" s="150">
        <v>1</v>
      </c>
      <c r="M845" s="150" t="s">
        <v>25</v>
      </c>
      <c r="N845" s="150"/>
      <c r="O845" s="150"/>
      <c r="P845" s="150"/>
      <c r="Q845" s="150" t="s">
        <v>22</v>
      </c>
      <c r="R845" s="64">
        <f>J845*L845</f>
        <v>1000000</v>
      </c>
      <c r="S845" s="168"/>
      <c r="T845" s="7"/>
    </row>
    <row r="846" spans="1:20" s="169" customFormat="1" ht="15" customHeight="1">
      <c r="A846" s="23"/>
      <c r="B846" s="22"/>
      <c r="C846" s="22"/>
      <c r="D846" s="522"/>
      <c r="E846" s="300"/>
      <c r="F846" s="300"/>
      <c r="G846" s="38"/>
      <c r="H846" s="38"/>
      <c r="I846" s="35"/>
      <c r="J846" s="180"/>
      <c r="K846" s="150"/>
      <c r="L846" s="150"/>
      <c r="M846" s="150"/>
      <c r="N846" s="150"/>
      <c r="O846" s="150"/>
      <c r="P846" s="150"/>
      <c r="Q846" s="150"/>
      <c r="R846" s="64"/>
      <c r="S846" s="168"/>
      <c r="T846" s="7"/>
    </row>
    <row r="847" spans="1:20" s="169" customFormat="1" ht="15" customHeight="1">
      <c r="A847" s="23"/>
      <c r="B847" s="22"/>
      <c r="C847" s="22"/>
      <c r="D847" s="522"/>
      <c r="E847" s="300"/>
      <c r="F847" s="300"/>
      <c r="G847" s="38"/>
      <c r="H847" s="38"/>
      <c r="I847" s="667" t="s">
        <v>354</v>
      </c>
      <c r="J847" s="180"/>
      <c r="K847" s="150"/>
      <c r="L847" s="150"/>
      <c r="M847" s="150"/>
      <c r="N847" s="150"/>
      <c r="O847" s="150"/>
      <c r="P847" s="150"/>
      <c r="Q847" s="150"/>
      <c r="R847" s="64">
        <f>SUM(R848:R849)</f>
        <v>2692800</v>
      </c>
      <c r="S847" s="168"/>
      <c r="T847" s="7"/>
    </row>
    <row r="848" spans="1:20" s="169" customFormat="1" ht="15" customHeight="1">
      <c r="A848" s="23"/>
      <c r="B848" s="22"/>
      <c r="C848" s="22"/>
      <c r="D848" s="522"/>
      <c r="E848" s="300"/>
      <c r="F848" s="300"/>
      <c r="G848" s="38"/>
      <c r="H848" s="38"/>
      <c r="I848" s="35" t="s">
        <v>1224</v>
      </c>
      <c r="J848" s="180">
        <v>475200</v>
      </c>
      <c r="K848" s="150" t="s">
        <v>15</v>
      </c>
      <c r="L848" s="150">
        <v>3</v>
      </c>
      <c r="M848" s="150" t="s">
        <v>17</v>
      </c>
      <c r="N848" s="150"/>
      <c r="O848" s="150"/>
      <c r="P848" s="150"/>
      <c r="Q848" s="150" t="s">
        <v>18</v>
      </c>
      <c r="R848" s="64">
        <f>J848*L848</f>
        <v>1425600</v>
      </c>
      <c r="S848" s="168"/>
      <c r="T848" s="7"/>
    </row>
    <row r="849" spans="1:20" s="169" customFormat="1" ht="15" customHeight="1">
      <c r="A849" s="23"/>
      <c r="B849" s="22"/>
      <c r="C849" s="22"/>
      <c r="D849" s="522"/>
      <c r="E849" s="300"/>
      <c r="F849" s="300"/>
      <c r="G849" s="38"/>
      <c r="H849" s="38"/>
      <c r="I849" s="35"/>
      <c r="J849" s="180">
        <v>316800</v>
      </c>
      <c r="K849" s="150" t="s">
        <v>15</v>
      </c>
      <c r="L849" s="150">
        <v>4</v>
      </c>
      <c r="M849" s="150" t="s">
        <v>17</v>
      </c>
      <c r="N849" s="150"/>
      <c r="O849" s="150"/>
      <c r="P849" s="150"/>
      <c r="Q849" s="150" t="s">
        <v>18</v>
      </c>
      <c r="R849" s="64">
        <f>J849*L849</f>
        <v>1267200</v>
      </c>
      <c r="S849" s="168"/>
      <c r="T849" s="7"/>
    </row>
    <row r="850" spans="1:20" s="169" customFormat="1" ht="14.25" customHeight="1">
      <c r="A850" s="23"/>
      <c r="B850" s="23"/>
      <c r="C850" s="88"/>
      <c r="D850" s="88"/>
      <c r="E850" s="33"/>
      <c r="F850" s="33"/>
      <c r="G850" s="517"/>
      <c r="H850" s="502"/>
      <c r="I850" s="35"/>
      <c r="J850" s="180"/>
      <c r="K850" s="150"/>
      <c r="L850" s="150"/>
      <c r="M850" s="150"/>
      <c r="N850" s="150"/>
      <c r="O850" s="150"/>
      <c r="P850" s="150"/>
      <c r="Q850" s="150"/>
      <c r="R850" s="64"/>
      <c r="S850" s="168"/>
      <c r="T850" s="7"/>
    </row>
    <row r="851" spans="1:20" s="169" customFormat="1" ht="14.25" customHeight="1">
      <c r="A851" s="23"/>
      <c r="B851" s="23"/>
      <c r="C851" s="88"/>
      <c r="D851" s="88"/>
      <c r="E851" s="33"/>
      <c r="F851" s="33"/>
      <c r="G851" s="517"/>
      <c r="H851" s="502"/>
      <c r="I851" s="667" t="s">
        <v>867</v>
      </c>
      <c r="J851" s="180"/>
      <c r="K851" s="150"/>
      <c r="L851" s="150"/>
      <c r="M851" s="150"/>
      <c r="N851" s="150"/>
      <c r="O851" s="150"/>
      <c r="P851" s="254"/>
      <c r="Q851" s="150"/>
      <c r="R851" s="64">
        <f>R852</f>
        <v>500000</v>
      </c>
      <c r="S851" s="168"/>
      <c r="T851" s="7"/>
    </row>
    <row r="852" spans="1:20" s="169" customFormat="1" ht="14.25" customHeight="1">
      <c r="A852" s="23"/>
      <c r="B852" s="23"/>
      <c r="C852" s="88"/>
      <c r="D852" s="88"/>
      <c r="E852" s="33"/>
      <c r="F852" s="33"/>
      <c r="G852" s="517"/>
      <c r="H852" s="502"/>
      <c r="I852" s="35" t="s">
        <v>717</v>
      </c>
      <c r="J852" s="180">
        <v>100000</v>
      </c>
      <c r="K852" s="150" t="s">
        <v>24</v>
      </c>
      <c r="L852" s="150">
        <v>5</v>
      </c>
      <c r="M852" s="150" t="s">
        <v>180</v>
      </c>
      <c r="N852" s="150"/>
      <c r="O852" s="150"/>
      <c r="P852" s="150"/>
      <c r="Q852" s="150" t="s">
        <v>22</v>
      </c>
      <c r="R852" s="64">
        <f>J852*L852</f>
        <v>500000</v>
      </c>
      <c r="S852" s="168"/>
      <c r="T852" s="7"/>
    </row>
    <row r="853" spans="1:20" s="169" customFormat="1" ht="14.25" customHeight="1">
      <c r="A853" s="23"/>
      <c r="B853" s="23"/>
      <c r="C853" s="88"/>
      <c r="D853" s="88"/>
      <c r="E853" s="33"/>
      <c r="F853" s="33"/>
      <c r="G853" s="517"/>
      <c r="H853" s="502"/>
      <c r="I853" s="35"/>
      <c r="J853" s="180"/>
      <c r="K853" s="150"/>
      <c r="L853" s="150"/>
      <c r="M853" s="150"/>
      <c r="N853" s="150"/>
      <c r="O853" s="150"/>
      <c r="P853" s="150"/>
      <c r="Q853" s="150"/>
      <c r="R853" s="64"/>
      <c r="S853" s="168"/>
      <c r="T853" s="7"/>
    </row>
    <row r="854" spans="1:20" s="169" customFormat="1" ht="14.25" customHeight="1">
      <c r="A854" s="23"/>
      <c r="B854" s="23"/>
      <c r="C854" s="88"/>
      <c r="D854" s="88"/>
      <c r="E854" s="33"/>
      <c r="F854" s="33"/>
      <c r="G854" s="517"/>
      <c r="H854" s="502"/>
      <c r="I854" s="256"/>
      <c r="J854" s="180"/>
      <c r="K854" s="150"/>
      <c r="L854" s="150"/>
      <c r="M854" s="150"/>
      <c r="N854" s="150"/>
      <c r="O854" s="150"/>
      <c r="P854" s="150"/>
      <c r="Q854" s="301"/>
      <c r="R854" s="64"/>
      <c r="S854" s="168"/>
      <c r="T854" s="7"/>
    </row>
    <row r="855" spans="1:20" s="169" customFormat="1" ht="15" customHeight="1">
      <c r="A855" s="23"/>
      <c r="B855" s="23"/>
      <c r="C855" s="88"/>
      <c r="D855" s="493"/>
      <c r="E855" s="187"/>
      <c r="F855" s="187"/>
      <c r="G855" s="279"/>
      <c r="H855" s="521"/>
      <c r="I855" s="302"/>
      <c r="J855" s="189"/>
      <c r="K855" s="222"/>
      <c r="L855" s="222"/>
      <c r="M855" s="222"/>
      <c r="N855" s="222"/>
      <c r="O855" s="222"/>
      <c r="P855" s="222"/>
      <c r="Q855" s="222" t="s">
        <v>23</v>
      </c>
      <c r="R855" s="187">
        <f>SUM(R800,R807,R811,R816,R833,R837,R840,R844,R847,R851)</f>
        <v>10212800</v>
      </c>
      <c r="S855" s="168">
        <v>0</v>
      </c>
      <c r="T855" s="7">
        <f>R855-S855</f>
        <v>10212800</v>
      </c>
    </row>
    <row r="856" spans="1:20" s="169" customFormat="1" ht="15" customHeight="1">
      <c r="A856" s="23"/>
      <c r="B856" s="22"/>
      <c r="C856" s="22"/>
      <c r="D856" s="943" t="s">
        <v>625</v>
      </c>
      <c r="E856" s="923">
        <v>0</v>
      </c>
      <c r="F856" s="923">
        <f>S902/1000</f>
        <v>0</v>
      </c>
      <c r="G856" s="933">
        <f>E856+E858-F856-F858</f>
        <v>3534</v>
      </c>
      <c r="H856" s="910">
        <f>G856/(E856+E858)</f>
        <v>0.5837462834489594</v>
      </c>
      <c r="I856" s="668" t="s">
        <v>876</v>
      </c>
      <c r="J856" s="298"/>
      <c r="K856" s="532"/>
      <c r="L856" s="532"/>
      <c r="M856" s="532"/>
      <c r="N856" s="532"/>
      <c r="O856" s="532"/>
      <c r="P856" s="532"/>
      <c r="Q856" s="532"/>
      <c r="R856" s="98">
        <f>SUM(R857:R860)</f>
        <v>530000</v>
      </c>
      <c r="S856" s="168"/>
      <c r="T856" s="7"/>
    </row>
    <row r="857" spans="1:20" s="169" customFormat="1" ht="15" customHeight="1">
      <c r="A857" s="23"/>
      <c r="B857" s="22"/>
      <c r="C857" s="22"/>
      <c r="D857" s="942"/>
      <c r="E857" s="917"/>
      <c r="F857" s="917"/>
      <c r="G857" s="935"/>
      <c r="H857" s="911"/>
      <c r="I857" s="35" t="s">
        <v>722</v>
      </c>
      <c r="J857" s="79">
        <v>3000</v>
      </c>
      <c r="K857" s="202" t="s">
        <v>15</v>
      </c>
      <c r="L857" s="127">
        <v>100</v>
      </c>
      <c r="M857" s="202" t="s">
        <v>16</v>
      </c>
      <c r="N857" s="202" t="s">
        <v>24</v>
      </c>
      <c r="O857" s="127">
        <v>1</v>
      </c>
      <c r="P857" s="202" t="s">
        <v>25</v>
      </c>
      <c r="Q857" s="202" t="s">
        <v>18</v>
      </c>
      <c r="R857" s="71">
        <f>J857*L857*O857</f>
        <v>300000</v>
      </c>
      <c r="S857" s="168"/>
      <c r="T857" s="7"/>
    </row>
    <row r="858" spans="1:20" s="169" customFormat="1" ht="15" customHeight="1">
      <c r="A858" s="23"/>
      <c r="B858" s="22"/>
      <c r="C858" s="22"/>
      <c r="D858" s="942"/>
      <c r="E858" s="923">
        <v>6054</v>
      </c>
      <c r="F858" s="923">
        <f>T902/1000</f>
        <v>2520</v>
      </c>
      <c r="G858" s="38"/>
      <c r="H858" s="38"/>
      <c r="I858" s="35" t="s">
        <v>360</v>
      </c>
      <c r="J858" s="79">
        <v>2000</v>
      </c>
      <c r="K858" s="202" t="s">
        <v>15</v>
      </c>
      <c r="L858" s="127">
        <v>100</v>
      </c>
      <c r="M858" s="202" t="s">
        <v>16</v>
      </c>
      <c r="N858" s="202" t="s">
        <v>24</v>
      </c>
      <c r="O858" s="127">
        <v>1</v>
      </c>
      <c r="P858" s="202" t="s">
        <v>25</v>
      </c>
      <c r="Q858" s="202" t="s">
        <v>18</v>
      </c>
      <c r="R858" s="71">
        <f>J858*L858*O858</f>
        <v>200000</v>
      </c>
      <c r="S858" s="168"/>
      <c r="T858" s="7"/>
    </row>
    <row r="859" spans="1:20" s="169" customFormat="1" ht="15" customHeight="1">
      <c r="A859" s="23"/>
      <c r="B859" s="22"/>
      <c r="C859" s="22"/>
      <c r="D859" s="665"/>
      <c r="E859" s="917"/>
      <c r="F859" s="917"/>
      <c r="G859" s="38"/>
      <c r="H859" s="38"/>
      <c r="I859" s="35" t="s">
        <v>364</v>
      </c>
      <c r="J859" s="79">
        <v>30000</v>
      </c>
      <c r="K859" s="202" t="s">
        <v>15</v>
      </c>
      <c r="L859" s="127">
        <v>1</v>
      </c>
      <c r="M859" s="202" t="s">
        <v>178</v>
      </c>
      <c r="N859" s="202" t="s">
        <v>20</v>
      </c>
      <c r="O859" s="127">
        <v>1</v>
      </c>
      <c r="P859" s="202" t="s">
        <v>25</v>
      </c>
      <c r="Q859" s="202" t="s">
        <v>18</v>
      </c>
      <c r="R859" s="71">
        <f>J859*L859*O859</f>
        <v>30000</v>
      </c>
      <c r="S859" s="168"/>
      <c r="T859" s="7"/>
    </row>
    <row r="860" spans="1:20" s="169" customFormat="1" ht="15" customHeight="1">
      <c r="A860" s="23"/>
      <c r="B860" s="22"/>
      <c r="C860" s="22"/>
      <c r="D860" s="665"/>
      <c r="E860" s="504"/>
      <c r="F860" s="504"/>
      <c r="G860" s="38"/>
      <c r="H860" s="38"/>
      <c r="I860" s="35"/>
      <c r="J860" s="79"/>
      <c r="K860" s="202"/>
      <c r="L860" s="127"/>
      <c r="M860" s="202"/>
      <c r="N860" s="202"/>
      <c r="O860" s="127"/>
      <c r="P860" s="202"/>
      <c r="Q860" s="202"/>
      <c r="R860" s="71"/>
      <c r="S860" s="331"/>
      <c r="T860" s="7"/>
    </row>
    <row r="861" spans="1:20" s="169" customFormat="1" ht="15" customHeight="1">
      <c r="A861" s="23"/>
      <c r="B861" s="22"/>
      <c r="C861" s="22"/>
      <c r="D861" s="522"/>
      <c r="E861" s="300"/>
      <c r="F861" s="300"/>
      <c r="G861" s="38"/>
      <c r="H861" s="38"/>
      <c r="I861" s="35"/>
      <c r="J861" s="180"/>
      <c r="K861" s="150"/>
      <c r="L861" s="150"/>
      <c r="M861" s="150"/>
      <c r="N861" s="150"/>
      <c r="O861" s="150"/>
      <c r="P861" s="150"/>
      <c r="Q861" s="150"/>
      <c r="R861" s="68"/>
      <c r="S861" s="168"/>
      <c r="T861" s="7"/>
    </row>
    <row r="862" spans="1:20" s="169" customFormat="1" ht="15" customHeight="1">
      <c r="A862" s="23"/>
      <c r="B862" s="22"/>
      <c r="C862" s="22"/>
      <c r="D862" s="522"/>
      <c r="E862" s="300"/>
      <c r="F862" s="300"/>
      <c r="G862" s="38"/>
      <c r="H862" s="38"/>
      <c r="I862" s="668" t="s">
        <v>877</v>
      </c>
      <c r="J862" s="298"/>
      <c r="K862" s="532"/>
      <c r="L862" s="532"/>
      <c r="M862" s="532"/>
      <c r="N862" s="532"/>
      <c r="O862" s="532"/>
      <c r="P862" s="532"/>
      <c r="Q862" s="532"/>
      <c r="R862" s="98">
        <f>SUM(R863:R865)</f>
        <v>1230000</v>
      </c>
      <c r="S862" s="168"/>
      <c r="T862" s="7"/>
    </row>
    <row r="863" spans="1:20" s="169" customFormat="1" ht="15" customHeight="1">
      <c r="A863" s="23"/>
      <c r="B863" s="22"/>
      <c r="C863" s="22"/>
      <c r="D863" s="522"/>
      <c r="E863" s="300"/>
      <c r="F863" s="300"/>
      <c r="G863" s="38"/>
      <c r="H863" s="38"/>
      <c r="I863" s="35" t="s">
        <v>266</v>
      </c>
      <c r="J863" s="79">
        <v>10000</v>
      </c>
      <c r="K863" s="202" t="s">
        <v>15</v>
      </c>
      <c r="L863" s="127">
        <v>100</v>
      </c>
      <c r="M863" s="202" t="s">
        <v>16</v>
      </c>
      <c r="N863" s="202" t="s">
        <v>24</v>
      </c>
      <c r="O863" s="127">
        <v>1</v>
      </c>
      <c r="P863" s="202" t="s">
        <v>25</v>
      </c>
      <c r="Q863" s="202" t="s">
        <v>18</v>
      </c>
      <c r="R863" s="71">
        <f>J863*L863*O863</f>
        <v>1000000</v>
      </c>
      <c r="S863" s="168"/>
      <c r="T863" s="7"/>
    </row>
    <row r="864" spans="1:20" s="169" customFormat="1" ht="15" customHeight="1">
      <c r="A864" s="23"/>
      <c r="B864" s="22"/>
      <c r="C864" s="22"/>
      <c r="D864" s="522"/>
      <c r="E864" s="300"/>
      <c r="F864" s="300"/>
      <c r="G864" s="38"/>
      <c r="H864" s="38"/>
      <c r="I864" s="35" t="s">
        <v>360</v>
      </c>
      <c r="J864" s="79">
        <v>2000</v>
      </c>
      <c r="K864" s="202" t="s">
        <v>15</v>
      </c>
      <c r="L864" s="127">
        <v>100</v>
      </c>
      <c r="M864" s="202" t="s">
        <v>16</v>
      </c>
      <c r="N864" s="202" t="s">
        <v>24</v>
      </c>
      <c r="O864" s="127">
        <v>1</v>
      </c>
      <c r="P864" s="202" t="s">
        <v>25</v>
      </c>
      <c r="Q864" s="202" t="s">
        <v>18</v>
      </c>
      <c r="R864" s="71">
        <f>J864*L864*O864</f>
        <v>200000</v>
      </c>
      <c r="S864" s="168"/>
      <c r="T864" s="7"/>
    </row>
    <row r="865" spans="1:20" s="169" customFormat="1" ht="15" customHeight="1">
      <c r="A865" s="23"/>
      <c r="B865" s="22"/>
      <c r="C865" s="22"/>
      <c r="D865" s="522"/>
      <c r="E865" s="300"/>
      <c r="F865" s="300"/>
      <c r="G865" s="38"/>
      <c r="H865" s="38"/>
      <c r="I865" s="35" t="s">
        <v>364</v>
      </c>
      <c r="J865" s="79">
        <v>30000</v>
      </c>
      <c r="K865" s="202" t="s">
        <v>15</v>
      </c>
      <c r="L865" s="127">
        <v>1</v>
      </c>
      <c r="M865" s="202" t="s">
        <v>178</v>
      </c>
      <c r="N865" s="202" t="s">
        <v>24</v>
      </c>
      <c r="O865" s="127">
        <v>1</v>
      </c>
      <c r="P865" s="202" t="s">
        <v>25</v>
      </c>
      <c r="Q865" s="202" t="s">
        <v>18</v>
      </c>
      <c r="R865" s="71">
        <f>J865*L865*O865</f>
        <v>30000</v>
      </c>
      <c r="S865" s="168"/>
      <c r="T865" s="7"/>
    </row>
    <row r="866" spans="1:20" s="169" customFormat="1" ht="15" customHeight="1">
      <c r="A866" s="23"/>
      <c r="B866" s="22"/>
      <c r="C866" s="22"/>
      <c r="D866" s="522"/>
      <c r="E866" s="300"/>
      <c r="F866" s="300"/>
      <c r="G866" s="38"/>
      <c r="H866" s="38"/>
      <c r="I866" s="35"/>
      <c r="J866" s="180"/>
      <c r="K866" s="150"/>
      <c r="L866" s="150"/>
      <c r="M866" s="150"/>
      <c r="N866" s="150"/>
      <c r="O866" s="150"/>
      <c r="P866" s="150"/>
      <c r="Q866" s="150"/>
      <c r="R866" s="68"/>
      <c r="S866" s="168"/>
      <c r="T866" s="7"/>
    </row>
    <row r="867" spans="1:20" s="169" customFormat="1" ht="15" hidden="1" customHeight="1">
      <c r="A867" s="23"/>
      <c r="B867" s="23"/>
      <c r="C867" s="88"/>
      <c r="D867" s="88"/>
      <c r="E867" s="33"/>
      <c r="F867" s="33"/>
      <c r="G867" s="517"/>
      <c r="H867" s="502"/>
      <c r="I867" s="667" t="s">
        <v>878</v>
      </c>
      <c r="J867" s="79"/>
      <c r="K867" s="150"/>
      <c r="L867" s="150"/>
      <c r="M867" s="150"/>
      <c r="N867" s="150"/>
      <c r="O867" s="150"/>
      <c r="P867" s="150"/>
      <c r="Q867" s="150"/>
      <c r="R867" s="68">
        <f>SUM(R868:R872)</f>
        <v>0</v>
      </c>
      <c r="S867" s="168"/>
      <c r="T867" s="7"/>
    </row>
    <row r="868" spans="1:20" s="169" customFormat="1" ht="15" hidden="1" customHeight="1">
      <c r="A868" s="23"/>
      <c r="B868" s="23"/>
      <c r="C868" s="88"/>
      <c r="D868" s="522"/>
      <c r="E868" s="33"/>
      <c r="F868" s="33"/>
      <c r="G868" s="517"/>
      <c r="H868" s="502"/>
      <c r="I868" s="35" t="s">
        <v>266</v>
      </c>
      <c r="J868" s="79">
        <v>8000</v>
      </c>
      <c r="K868" s="202" t="s">
        <v>15</v>
      </c>
      <c r="L868" s="127">
        <v>33</v>
      </c>
      <c r="M868" s="202" t="s">
        <v>16</v>
      </c>
      <c r="N868" s="202" t="s">
        <v>24</v>
      </c>
      <c r="O868" s="127">
        <v>0</v>
      </c>
      <c r="P868" s="202" t="s">
        <v>25</v>
      </c>
      <c r="Q868" s="202" t="s">
        <v>18</v>
      </c>
      <c r="R868" s="71">
        <f>J868*L868*O868</f>
        <v>0</v>
      </c>
      <c r="S868" s="168"/>
      <c r="T868" s="7"/>
    </row>
    <row r="869" spans="1:20" s="169" customFormat="1" ht="14.25" hidden="1" customHeight="1">
      <c r="A869" s="23"/>
      <c r="B869" s="23"/>
      <c r="C869" s="88"/>
      <c r="D869" s="88"/>
      <c r="E869" s="33"/>
      <c r="F869" s="33"/>
      <c r="G869" s="517"/>
      <c r="H869" s="530"/>
      <c r="I869" s="35" t="s">
        <v>365</v>
      </c>
      <c r="J869" s="79">
        <v>25000</v>
      </c>
      <c r="K869" s="202" t="s">
        <v>15</v>
      </c>
      <c r="L869" s="127">
        <v>33</v>
      </c>
      <c r="M869" s="202" t="s">
        <v>16</v>
      </c>
      <c r="N869" s="202" t="s">
        <v>24</v>
      </c>
      <c r="O869" s="127">
        <v>0</v>
      </c>
      <c r="P869" s="202" t="s">
        <v>25</v>
      </c>
      <c r="Q869" s="202" t="s">
        <v>18</v>
      </c>
      <c r="R869" s="71">
        <f>J869*L869*O869</f>
        <v>0</v>
      </c>
      <c r="S869" s="168"/>
      <c r="T869" s="7"/>
    </row>
    <row r="870" spans="1:20" s="169" customFormat="1" ht="14.25" hidden="1" customHeight="1">
      <c r="A870" s="23"/>
      <c r="B870" s="23"/>
      <c r="C870" s="88"/>
      <c r="D870" s="88"/>
      <c r="E870" s="33"/>
      <c r="F870" s="33"/>
      <c r="G870" s="517"/>
      <c r="H870" s="530"/>
      <c r="I870" s="35" t="s">
        <v>873</v>
      </c>
      <c r="J870" s="79">
        <v>100000</v>
      </c>
      <c r="K870" s="202" t="s">
        <v>15</v>
      </c>
      <c r="L870" s="127">
        <v>1</v>
      </c>
      <c r="M870" s="202" t="s">
        <v>184</v>
      </c>
      <c r="N870" s="202" t="s">
        <v>24</v>
      </c>
      <c r="O870" s="127">
        <v>0</v>
      </c>
      <c r="P870" s="202" t="s">
        <v>175</v>
      </c>
      <c r="Q870" s="202" t="s">
        <v>18</v>
      </c>
      <c r="R870" s="71">
        <f>J870*L870*O870</f>
        <v>0</v>
      </c>
      <c r="S870" s="168"/>
      <c r="T870" s="7"/>
    </row>
    <row r="871" spans="1:20" s="169" customFormat="1" ht="14.25" hidden="1" customHeight="1">
      <c r="A871" s="23"/>
      <c r="B871" s="23"/>
      <c r="C871" s="88"/>
      <c r="D871" s="88"/>
      <c r="E871" s="33"/>
      <c r="F871" s="33"/>
      <c r="G871" s="517"/>
      <c r="H871" s="502"/>
      <c r="I871" s="35" t="s">
        <v>360</v>
      </c>
      <c r="J871" s="79">
        <v>3000</v>
      </c>
      <c r="K871" s="202" t="s">
        <v>15</v>
      </c>
      <c r="L871" s="127">
        <v>33</v>
      </c>
      <c r="M871" s="202" t="s">
        <v>21</v>
      </c>
      <c r="N871" s="202" t="s">
        <v>24</v>
      </c>
      <c r="O871" s="127">
        <v>0</v>
      </c>
      <c r="P871" s="202" t="s">
        <v>175</v>
      </c>
      <c r="Q871" s="202" t="s">
        <v>18</v>
      </c>
      <c r="R871" s="71">
        <f>J871*L871*O871</f>
        <v>0</v>
      </c>
      <c r="S871" s="168"/>
      <c r="T871" s="7"/>
    </row>
    <row r="872" spans="1:20" s="169" customFormat="1" ht="15" hidden="1" customHeight="1">
      <c r="A872" s="23"/>
      <c r="B872" s="22"/>
      <c r="C872" s="22"/>
      <c r="D872" s="522"/>
      <c r="E872" s="300"/>
      <c r="F872" s="300"/>
      <c r="G872" s="38"/>
      <c r="H872" s="38"/>
      <c r="I872" s="35" t="s">
        <v>364</v>
      </c>
      <c r="J872" s="79">
        <v>30000</v>
      </c>
      <c r="K872" s="202" t="s">
        <v>15</v>
      </c>
      <c r="L872" s="127">
        <v>1</v>
      </c>
      <c r="M872" s="202" t="s">
        <v>178</v>
      </c>
      <c r="N872" s="202" t="s">
        <v>24</v>
      </c>
      <c r="O872" s="127">
        <v>0</v>
      </c>
      <c r="P872" s="202" t="s">
        <v>175</v>
      </c>
      <c r="Q872" s="202" t="s">
        <v>18</v>
      </c>
      <c r="R872" s="71">
        <f>J872*L872*O872</f>
        <v>0</v>
      </c>
      <c r="S872" s="168"/>
      <c r="T872" s="7"/>
    </row>
    <row r="873" spans="1:20" s="169" customFormat="1" ht="15" hidden="1" customHeight="1">
      <c r="A873" s="23"/>
      <c r="B873" s="22"/>
      <c r="C873" s="22"/>
      <c r="D873" s="522"/>
      <c r="E873" s="300"/>
      <c r="F873" s="300"/>
      <c r="G873" s="38"/>
      <c r="H873" s="38"/>
      <c r="I873" s="35"/>
      <c r="J873" s="79"/>
      <c r="K873" s="202"/>
      <c r="L873" s="127"/>
      <c r="M873" s="202"/>
      <c r="N873" s="202"/>
      <c r="O873" s="127"/>
      <c r="P873" s="202"/>
      <c r="Q873" s="202"/>
      <c r="R873" s="71"/>
      <c r="S873" s="168"/>
      <c r="T873" s="7"/>
    </row>
    <row r="874" spans="1:20" s="169" customFormat="1" ht="15" hidden="1" customHeight="1">
      <c r="A874" s="23"/>
      <c r="B874" s="22"/>
      <c r="C874" s="22"/>
      <c r="D874" s="522"/>
      <c r="E874" s="300"/>
      <c r="F874" s="300"/>
      <c r="G874" s="38"/>
      <c r="H874" s="38"/>
      <c r="I874" s="667" t="s">
        <v>623</v>
      </c>
      <c r="J874" s="180"/>
      <c r="K874" s="532"/>
      <c r="L874" s="532"/>
      <c r="M874" s="532"/>
      <c r="N874" s="532"/>
      <c r="O874" s="532"/>
      <c r="P874" s="532"/>
      <c r="Q874" s="532"/>
      <c r="R874" s="68">
        <f>SUM(R875:R885)</f>
        <v>0</v>
      </c>
      <c r="S874" s="168"/>
      <c r="T874" s="7"/>
    </row>
    <row r="875" spans="1:20" s="169" customFormat="1" ht="15" hidden="1" customHeight="1">
      <c r="A875" s="23"/>
      <c r="B875" s="22"/>
      <c r="C875" s="22"/>
      <c r="D875" s="522"/>
      <c r="E875" s="300"/>
      <c r="F875" s="300"/>
      <c r="G875" s="38"/>
      <c r="H875" s="38"/>
      <c r="I875" s="35" t="s">
        <v>356</v>
      </c>
      <c r="J875" s="79">
        <v>30000</v>
      </c>
      <c r="K875" s="202" t="s">
        <v>15</v>
      </c>
      <c r="L875" s="127">
        <v>0</v>
      </c>
      <c r="M875" s="202" t="s">
        <v>16</v>
      </c>
      <c r="N875" s="202" t="s">
        <v>24</v>
      </c>
      <c r="O875" s="127">
        <v>1</v>
      </c>
      <c r="P875" s="202" t="s">
        <v>25</v>
      </c>
      <c r="Q875" s="202" t="s">
        <v>18</v>
      </c>
      <c r="R875" s="71">
        <f t="shared" ref="R875:R882" si="16">J875*L875*O875</f>
        <v>0</v>
      </c>
      <c r="S875" s="168"/>
      <c r="T875" s="7"/>
    </row>
    <row r="876" spans="1:20" s="169" customFormat="1" ht="15" hidden="1" customHeight="1">
      <c r="A876" s="23"/>
      <c r="B876" s="22"/>
      <c r="C876" s="22"/>
      <c r="D876" s="522"/>
      <c r="E876" s="300"/>
      <c r="F876" s="300"/>
      <c r="G876" s="38"/>
      <c r="H876" s="38"/>
      <c r="I876" s="256" t="s">
        <v>357</v>
      </c>
      <c r="J876" s="79">
        <v>35000</v>
      </c>
      <c r="K876" s="126" t="s">
        <v>24</v>
      </c>
      <c r="L876" s="126">
        <v>0</v>
      </c>
      <c r="M876" s="126" t="s">
        <v>21</v>
      </c>
      <c r="N876" s="126" t="s">
        <v>24</v>
      </c>
      <c r="O876" s="126">
        <v>1</v>
      </c>
      <c r="P876" s="126" t="s">
        <v>25</v>
      </c>
      <c r="Q876" s="126" t="s">
        <v>22</v>
      </c>
      <c r="R876" s="64">
        <f t="shared" si="16"/>
        <v>0</v>
      </c>
      <c r="S876" s="168"/>
      <c r="T876" s="7"/>
    </row>
    <row r="877" spans="1:20" s="169" customFormat="1" ht="15" hidden="1" customHeight="1">
      <c r="A877" s="23"/>
      <c r="B877" s="22"/>
      <c r="C877" s="22"/>
      <c r="D877" s="522"/>
      <c r="E877" s="300"/>
      <c r="F877" s="300"/>
      <c r="G877" s="38"/>
      <c r="H877" s="38"/>
      <c r="I877" s="35" t="s">
        <v>266</v>
      </c>
      <c r="J877" s="79">
        <v>10000</v>
      </c>
      <c r="K877" s="126" t="s">
        <v>20</v>
      </c>
      <c r="L877" s="126">
        <v>0</v>
      </c>
      <c r="M877" s="126" t="s">
        <v>21</v>
      </c>
      <c r="N877" s="126" t="s">
        <v>20</v>
      </c>
      <c r="O877" s="126">
        <v>7</v>
      </c>
      <c r="P877" s="126" t="s">
        <v>240</v>
      </c>
      <c r="Q877" s="126" t="s">
        <v>22</v>
      </c>
      <c r="R877" s="64">
        <f t="shared" si="16"/>
        <v>0</v>
      </c>
      <c r="S877" s="168"/>
      <c r="T877" s="7"/>
    </row>
    <row r="878" spans="1:20" s="169" customFormat="1" ht="15" hidden="1" customHeight="1">
      <c r="A878" s="23"/>
      <c r="B878" s="22"/>
      <c r="C878" s="22"/>
      <c r="D878" s="522"/>
      <c r="E878" s="300"/>
      <c r="F878" s="300"/>
      <c r="G878" s="38"/>
      <c r="H878" s="38"/>
      <c r="I878" s="35" t="s">
        <v>358</v>
      </c>
      <c r="J878" s="79">
        <v>30000</v>
      </c>
      <c r="K878" s="126" t="s">
        <v>20</v>
      </c>
      <c r="L878" s="126">
        <v>0</v>
      </c>
      <c r="M878" s="126" t="s">
        <v>21</v>
      </c>
      <c r="N878" s="126" t="s">
        <v>20</v>
      </c>
      <c r="O878" s="126">
        <v>2</v>
      </c>
      <c r="P878" s="126" t="s">
        <v>25</v>
      </c>
      <c r="Q878" s="126" t="s">
        <v>22</v>
      </c>
      <c r="R878" s="64">
        <f t="shared" si="16"/>
        <v>0</v>
      </c>
      <c r="S878" s="168"/>
      <c r="T878" s="7"/>
    </row>
    <row r="879" spans="1:20" s="169" customFormat="1" ht="15" hidden="1" customHeight="1">
      <c r="A879" s="23"/>
      <c r="B879" s="22"/>
      <c r="C879" s="22"/>
      <c r="D879" s="522"/>
      <c r="E879" s="300"/>
      <c r="F879" s="300"/>
      <c r="G879" s="38"/>
      <c r="H879" s="38"/>
      <c r="I879" s="35" t="s">
        <v>359</v>
      </c>
      <c r="J879" s="79">
        <v>250000</v>
      </c>
      <c r="K879" s="126" t="s">
        <v>20</v>
      </c>
      <c r="L879" s="126">
        <v>0</v>
      </c>
      <c r="M879" s="126" t="s">
        <v>21</v>
      </c>
      <c r="N879" s="126" t="s">
        <v>20</v>
      </c>
      <c r="O879" s="126">
        <v>1</v>
      </c>
      <c r="P879" s="126" t="s">
        <v>25</v>
      </c>
      <c r="Q879" s="126" t="s">
        <v>22</v>
      </c>
      <c r="R879" s="64">
        <f t="shared" si="16"/>
        <v>0</v>
      </c>
      <c r="S879" s="168"/>
      <c r="T879" s="7"/>
    </row>
    <row r="880" spans="1:20" s="169" customFormat="1" ht="15" hidden="1" customHeight="1">
      <c r="A880" s="23"/>
      <c r="B880" s="22"/>
      <c r="C880" s="22"/>
      <c r="D880" s="522"/>
      <c r="E880" s="300"/>
      <c r="F880" s="300"/>
      <c r="G880" s="38"/>
      <c r="H880" s="38"/>
      <c r="I880" s="35" t="s">
        <v>360</v>
      </c>
      <c r="J880" s="79">
        <v>3000</v>
      </c>
      <c r="K880" s="126" t="s">
        <v>20</v>
      </c>
      <c r="L880" s="126">
        <v>0</v>
      </c>
      <c r="M880" s="126" t="s">
        <v>21</v>
      </c>
      <c r="N880" s="126" t="s">
        <v>20</v>
      </c>
      <c r="O880" s="126">
        <v>2</v>
      </c>
      <c r="P880" s="126" t="s">
        <v>25</v>
      </c>
      <c r="Q880" s="126" t="s">
        <v>22</v>
      </c>
      <c r="R880" s="64">
        <f t="shared" si="16"/>
        <v>0</v>
      </c>
      <c r="S880" s="168"/>
      <c r="T880" s="7"/>
    </row>
    <row r="881" spans="1:20" s="169" customFormat="1" ht="15" hidden="1" customHeight="1">
      <c r="A881" s="23"/>
      <c r="B881" s="22"/>
      <c r="C881" s="22"/>
      <c r="D881" s="522"/>
      <c r="E881" s="300"/>
      <c r="F881" s="300"/>
      <c r="G881" s="38"/>
      <c r="H881" s="38"/>
      <c r="I881" s="35" t="s">
        <v>361</v>
      </c>
      <c r="J881" s="79">
        <v>10000</v>
      </c>
      <c r="K881" s="126" t="s">
        <v>20</v>
      </c>
      <c r="L881" s="126">
        <v>0</v>
      </c>
      <c r="M881" s="126" t="s">
        <v>21</v>
      </c>
      <c r="N881" s="126" t="s">
        <v>20</v>
      </c>
      <c r="O881" s="126">
        <v>1</v>
      </c>
      <c r="P881" s="126" t="s">
        <v>25</v>
      </c>
      <c r="Q881" s="126" t="s">
        <v>22</v>
      </c>
      <c r="R881" s="64">
        <f t="shared" si="16"/>
        <v>0</v>
      </c>
      <c r="S881" s="168"/>
      <c r="T881" s="7"/>
    </row>
    <row r="882" spans="1:20" s="169" customFormat="1" ht="15" hidden="1" customHeight="1">
      <c r="A882" s="23"/>
      <c r="B882" s="22"/>
      <c r="C882" s="22"/>
      <c r="D882" s="522"/>
      <c r="E882" s="300"/>
      <c r="F882" s="300"/>
      <c r="G882" s="38"/>
      <c r="H882" s="38"/>
      <c r="I882" s="35" t="s">
        <v>873</v>
      </c>
      <c r="J882" s="79">
        <v>300000</v>
      </c>
      <c r="K882" s="126" t="s">
        <v>20</v>
      </c>
      <c r="L882" s="126">
        <v>0</v>
      </c>
      <c r="M882" s="126" t="s">
        <v>25</v>
      </c>
      <c r="N882" s="126" t="s">
        <v>20</v>
      </c>
      <c r="O882" s="126">
        <v>1</v>
      </c>
      <c r="P882" s="126" t="s">
        <v>25</v>
      </c>
      <c r="Q882" s="126" t="s">
        <v>22</v>
      </c>
      <c r="R882" s="64">
        <f t="shared" si="16"/>
        <v>0</v>
      </c>
      <c r="S882" s="168"/>
      <c r="T882" s="7"/>
    </row>
    <row r="883" spans="1:20" s="169" customFormat="1" ht="15" hidden="1" customHeight="1">
      <c r="A883" s="23"/>
      <c r="B883" s="22"/>
      <c r="C883" s="22"/>
      <c r="D883" s="522"/>
      <c r="E883" s="300"/>
      <c r="F883" s="300"/>
      <c r="G883" s="38"/>
      <c r="H883" s="38"/>
      <c r="I883" s="35" t="s">
        <v>362</v>
      </c>
      <c r="J883" s="79">
        <v>30000</v>
      </c>
      <c r="K883" s="126" t="s">
        <v>20</v>
      </c>
      <c r="L883" s="126">
        <v>0</v>
      </c>
      <c r="M883" s="126" t="s">
        <v>178</v>
      </c>
      <c r="N883" s="126"/>
      <c r="O883" s="126"/>
      <c r="P883" s="126"/>
      <c r="Q883" s="126" t="s">
        <v>22</v>
      </c>
      <c r="R883" s="64">
        <f>J883*L883</f>
        <v>0</v>
      </c>
      <c r="S883" s="168"/>
      <c r="T883" s="7"/>
    </row>
    <row r="884" spans="1:20" s="169" customFormat="1" ht="15" hidden="1" customHeight="1">
      <c r="A884" s="23"/>
      <c r="B884" s="22"/>
      <c r="C884" s="22"/>
      <c r="D884" s="646"/>
      <c r="E884" s="300"/>
      <c r="F884" s="300"/>
      <c r="G884" s="38"/>
      <c r="H884" s="38"/>
      <c r="I884" s="35" t="s">
        <v>363</v>
      </c>
      <c r="J884" s="79">
        <v>200000</v>
      </c>
      <c r="K884" s="126" t="s">
        <v>20</v>
      </c>
      <c r="L884" s="126">
        <v>0</v>
      </c>
      <c r="M884" s="126" t="s">
        <v>25</v>
      </c>
      <c r="N884" s="126"/>
      <c r="O884" s="126"/>
      <c r="P884" s="126"/>
      <c r="Q884" s="126" t="s">
        <v>22</v>
      </c>
      <c r="R884" s="64">
        <f>J884*L884</f>
        <v>0</v>
      </c>
      <c r="S884" s="168"/>
      <c r="T884" s="7"/>
    </row>
    <row r="885" spans="1:20" s="169" customFormat="1" ht="15" hidden="1" customHeight="1">
      <c r="A885" s="23"/>
      <c r="B885" s="22"/>
      <c r="C885" s="22"/>
      <c r="D885" s="522"/>
      <c r="E885" s="300"/>
      <c r="F885" s="300"/>
      <c r="G885" s="38"/>
      <c r="H885" s="38"/>
      <c r="I885" s="35" t="s">
        <v>874</v>
      </c>
      <c r="J885" s="79">
        <v>30000</v>
      </c>
      <c r="K885" s="126" t="s">
        <v>20</v>
      </c>
      <c r="L885" s="126">
        <v>0</v>
      </c>
      <c r="M885" s="126" t="s">
        <v>875</v>
      </c>
      <c r="N885" s="126"/>
      <c r="O885" s="126"/>
      <c r="P885" s="126"/>
      <c r="Q885" s="126" t="s">
        <v>22</v>
      </c>
      <c r="R885" s="64">
        <f>J885*L885</f>
        <v>0</v>
      </c>
      <c r="S885" s="168"/>
      <c r="T885" s="7"/>
    </row>
    <row r="886" spans="1:20" s="169" customFormat="1" ht="15" customHeight="1">
      <c r="A886" s="23"/>
      <c r="B886" s="22"/>
      <c r="C886" s="22"/>
      <c r="D886" s="522"/>
      <c r="E886" s="300"/>
      <c r="F886" s="300"/>
      <c r="G886" s="38"/>
      <c r="H886" s="38"/>
      <c r="I886" s="35"/>
      <c r="J886" s="254"/>
      <c r="K886" s="150"/>
      <c r="L886" s="150"/>
      <c r="M886" s="150"/>
      <c r="N886" s="150"/>
      <c r="O886" s="150"/>
      <c r="P886" s="150"/>
      <c r="Q886" s="150"/>
      <c r="R886" s="87"/>
      <c r="S886" s="168"/>
      <c r="T886" s="7"/>
    </row>
    <row r="887" spans="1:20" s="169" customFormat="1" ht="15" hidden="1" customHeight="1">
      <c r="A887" s="23"/>
      <c r="B887" s="22"/>
      <c r="C887" s="22"/>
      <c r="D887" s="522"/>
      <c r="E887" s="300"/>
      <c r="F887" s="300"/>
      <c r="G887" s="38"/>
      <c r="H887" s="38"/>
      <c r="I887" s="667" t="s">
        <v>624</v>
      </c>
      <c r="J887" s="79"/>
      <c r="K887" s="20"/>
      <c r="L887" s="20"/>
      <c r="M887" s="20"/>
      <c r="N887" s="20"/>
      <c r="O887" s="20"/>
      <c r="P887" s="20"/>
      <c r="Q887" s="20"/>
      <c r="R887" s="171">
        <f>SUM(R888:R893)</f>
        <v>0</v>
      </c>
      <c r="S887" s="168"/>
      <c r="T887" s="7"/>
    </row>
    <row r="888" spans="1:20" s="169" customFormat="1" ht="15" hidden="1" customHeight="1">
      <c r="A888" s="23"/>
      <c r="B888" s="22"/>
      <c r="C888" s="22"/>
      <c r="D888" s="522"/>
      <c r="E888" s="300"/>
      <c r="F888" s="300"/>
      <c r="G888" s="38"/>
      <c r="H888" s="38"/>
      <c r="I888" s="35" t="s">
        <v>365</v>
      </c>
      <c r="J888" s="79">
        <v>25000</v>
      </c>
      <c r="K888" s="202" t="s">
        <v>15</v>
      </c>
      <c r="L888" s="127">
        <v>45</v>
      </c>
      <c r="M888" s="202" t="s">
        <v>16</v>
      </c>
      <c r="N888" s="202" t="s">
        <v>24</v>
      </c>
      <c r="O888" s="127">
        <v>0</v>
      </c>
      <c r="P888" s="202" t="s">
        <v>25</v>
      </c>
      <c r="Q888" s="202" t="s">
        <v>18</v>
      </c>
      <c r="R888" s="71">
        <f>J888*L888*O888</f>
        <v>0</v>
      </c>
      <c r="S888" s="168"/>
      <c r="T888" s="7"/>
    </row>
    <row r="889" spans="1:20" s="169" customFormat="1" ht="15" hidden="1" customHeight="1">
      <c r="A889" s="23"/>
      <c r="B889" s="22"/>
      <c r="C889" s="22"/>
      <c r="D889" s="522"/>
      <c r="E889" s="300"/>
      <c r="F889" s="300"/>
      <c r="G889" s="38"/>
      <c r="H889" s="38"/>
      <c r="I889" s="35" t="s">
        <v>266</v>
      </c>
      <c r="J889" s="79">
        <v>8000</v>
      </c>
      <c r="K889" s="202" t="s">
        <v>15</v>
      </c>
      <c r="L889" s="127">
        <v>45</v>
      </c>
      <c r="M889" s="202" t="s">
        <v>16</v>
      </c>
      <c r="N889" s="202" t="s">
        <v>24</v>
      </c>
      <c r="O889" s="127">
        <v>0</v>
      </c>
      <c r="P889" s="202" t="s">
        <v>25</v>
      </c>
      <c r="Q889" s="202" t="s">
        <v>18</v>
      </c>
      <c r="R889" s="71">
        <f>J889*L889*O889</f>
        <v>0</v>
      </c>
      <c r="S889" s="168"/>
      <c r="T889" s="7"/>
    </row>
    <row r="890" spans="1:20" s="169" customFormat="1" ht="15" hidden="1" customHeight="1">
      <c r="A890" s="23"/>
      <c r="B890" s="22"/>
      <c r="C890" s="22"/>
      <c r="D890" s="522"/>
      <c r="E890" s="300"/>
      <c r="F890" s="300"/>
      <c r="G890" s="38"/>
      <c r="H890" s="38"/>
      <c r="I890" s="35" t="s">
        <v>873</v>
      </c>
      <c r="J890" s="79">
        <v>100000</v>
      </c>
      <c r="K890" s="202" t="s">
        <v>15</v>
      </c>
      <c r="L890" s="127">
        <v>1</v>
      </c>
      <c r="M890" s="202" t="s">
        <v>16</v>
      </c>
      <c r="N890" s="202" t="s">
        <v>24</v>
      </c>
      <c r="O890" s="127">
        <v>0</v>
      </c>
      <c r="P890" s="202" t="s">
        <v>25</v>
      </c>
      <c r="Q890" s="202" t="s">
        <v>18</v>
      </c>
      <c r="R890" s="71">
        <f>J890*L890*O890</f>
        <v>0</v>
      </c>
      <c r="S890" s="168"/>
      <c r="T890" s="7"/>
    </row>
    <row r="891" spans="1:20" s="169" customFormat="1" ht="15" hidden="1" customHeight="1">
      <c r="A891" s="23"/>
      <c r="B891" s="22"/>
      <c r="C891" s="22"/>
      <c r="D891" s="522"/>
      <c r="E891" s="300"/>
      <c r="F891" s="300"/>
      <c r="G891" s="38"/>
      <c r="H891" s="38"/>
      <c r="I891" s="35" t="s">
        <v>360</v>
      </c>
      <c r="J891" s="79">
        <v>3000</v>
      </c>
      <c r="K891" s="202" t="s">
        <v>15</v>
      </c>
      <c r="L891" s="127">
        <v>45</v>
      </c>
      <c r="M891" s="202" t="s">
        <v>16</v>
      </c>
      <c r="N891" s="202" t="s">
        <v>24</v>
      </c>
      <c r="O891" s="127">
        <v>0</v>
      </c>
      <c r="P891" s="202" t="s">
        <v>25</v>
      </c>
      <c r="Q891" s="202" t="s">
        <v>18</v>
      </c>
      <c r="R891" s="71">
        <f>J891*L891*O891</f>
        <v>0</v>
      </c>
      <c r="S891" s="168"/>
      <c r="T891" s="7"/>
    </row>
    <row r="892" spans="1:20" s="169" customFormat="1" ht="15" hidden="1" customHeight="1">
      <c r="A892" s="23"/>
      <c r="B892" s="22"/>
      <c r="C892" s="22"/>
      <c r="D892" s="522"/>
      <c r="E892" s="300"/>
      <c r="F892" s="300"/>
      <c r="G892" s="38"/>
      <c r="H892" s="38"/>
      <c r="I892" s="35" t="s">
        <v>364</v>
      </c>
      <c r="J892" s="79">
        <v>30000</v>
      </c>
      <c r="K892" s="202" t="s">
        <v>15</v>
      </c>
      <c r="L892" s="127">
        <v>1</v>
      </c>
      <c r="M892" s="202" t="s">
        <v>178</v>
      </c>
      <c r="N892" s="202" t="s">
        <v>24</v>
      </c>
      <c r="O892" s="127">
        <v>0</v>
      </c>
      <c r="P892" s="202" t="s">
        <v>25</v>
      </c>
      <c r="Q892" s="202" t="s">
        <v>18</v>
      </c>
      <c r="R892" s="71">
        <f>J892*L892*O892</f>
        <v>0</v>
      </c>
      <c r="S892" s="168"/>
      <c r="T892" s="7"/>
    </row>
    <row r="893" spans="1:20" s="169" customFormat="1" ht="15" hidden="1" customHeight="1">
      <c r="A893" s="23"/>
      <c r="B893" s="22"/>
      <c r="C893" s="22"/>
      <c r="D893" s="522"/>
      <c r="E893" s="300"/>
      <c r="F893" s="300"/>
      <c r="G893" s="38"/>
      <c r="H893" s="38"/>
      <c r="I893" s="35"/>
      <c r="J893" s="180"/>
      <c r="K893" s="202"/>
      <c r="L893" s="127"/>
      <c r="M893" s="202"/>
      <c r="N893" s="202"/>
      <c r="O893" s="127"/>
      <c r="P893" s="202"/>
      <c r="Q893" s="202"/>
      <c r="R893" s="68"/>
      <c r="S893" s="168"/>
      <c r="T893" s="7"/>
    </row>
    <row r="894" spans="1:20" s="169" customFormat="1" ht="15" customHeight="1">
      <c r="A894" s="23"/>
      <c r="B894" s="22"/>
      <c r="C894" s="22"/>
      <c r="D894" s="522"/>
      <c r="E894" s="300"/>
      <c r="F894" s="300"/>
      <c r="G894" s="38"/>
      <c r="H894" s="38"/>
      <c r="I894" s="667" t="s">
        <v>879</v>
      </c>
      <c r="J894" s="79"/>
      <c r="K894" s="20"/>
      <c r="L894" s="20"/>
      <c r="M894" s="20"/>
      <c r="N894" s="20"/>
      <c r="O894" s="20"/>
      <c r="P894" s="20"/>
      <c r="Q894" s="20"/>
      <c r="R894" s="171">
        <f>SUM(R895:R899)</f>
        <v>460000</v>
      </c>
      <c r="S894" s="168"/>
      <c r="T894" s="7"/>
    </row>
    <row r="895" spans="1:20" s="169" customFormat="1" ht="15" customHeight="1">
      <c r="A895" s="23"/>
      <c r="B895" s="22"/>
      <c r="C895" s="22"/>
      <c r="D895" s="522"/>
      <c r="E895" s="300"/>
      <c r="F895" s="300"/>
      <c r="G895" s="38"/>
      <c r="H895" s="38"/>
      <c r="I895" s="35" t="s">
        <v>266</v>
      </c>
      <c r="J895" s="79">
        <v>8000</v>
      </c>
      <c r="K895" s="202" t="s">
        <v>15</v>
      </c>
      <c r="L895" s="127">
        <v>33</v>
      </c>
      <c r="M895" s="202" t="s">
        <v>16</v>
      </c>
      <c r="N895" s="202" t="s">
        <v>20</v>
      </c>
      <c r="O895" s="127">
        <v>1</v>
      </c>
      <c r="P895" s="202" t="s">
        <v>25</v>
      </c>
      <c r="Q895" s="202" t="s">
        <v>18</v>
      </c>
      <c r="R895" s="71">
        <f>J895*L895*O895</f>
        <v>264000</v>
      </c>
      <c r="S895" s="168"/>
      <c r="T895" s="7"/>
    </row>
    <row r="896" spans="1:20" s="169" customFormat="1" ht="15" customHeight="1">
      <c r="A896" s="23"/>
      <c r="B896" s="22"/>
      <c r="C896" s="22"/>
      <c r="D896" s="522"/>
      <c r="E896" s="300"/>
      <c r="F896" s="300"/>
      <c r="G896" s="38"/>
      <c r="H896" s="38"/>
      <c r="I896" s="35" t="s">
        <v>873</v>
      </c>
      <c r="J896" s="79">
        <v>100000</v>
      </c>
      <c r="K896" s="202" t="s">
        <v>15</v>
      </c>
      <c r="L896" s="127">
        <v>1</v>
      </c>
      <c r="M896" s="202" t="s">
        <v>16</v>
      </c>
      <c r="N896" s="202" t="s">
        <v>20</v>
      </c>
      <c r="O896" s="127">
        <v>1</v>
      </c>
      <c r="P896" s="202" t="s">
        <v>25</v>
      </c>
      <c r="Q896" s="202" t="s">
        <v>18</v>
      </c>
      <c r="R896" s="71">
        <f>J896*L896*O896</f>
        <v>100000</v>
      </c>
      <c r="S896" s="168"/>
      <c r="T896" s="7"/>
    </row>
    <row r="897" spans="1:20" s="169" customFormat="1" ht="15" customHeight="1">
      <c r="A897" s="23"/>
      <c r="B897" s="22"/>
      <c r="C897" s="22"/>
      <c r="D897" s="522"/>
      <c r="E897" s="300"/>
      <c r="F897" s="300"/>
      <c r="G897" s="38"/>
      <c r="H897" s="38"/>
      <c r="I897" s="35" t="s">
        <v>360</v>
      </c>
      <c r="J897" s="79">
        <v>2000</v>
      </c>
      <c r="K897" s="202" t="s">
        <v>15</v>
      </c>
      <c r="L897" s="127">
        <v>33</v>
      </c>
      <c r="M897" s="202" t="s">
        <v>16</v>
      </c>
      <c r="N897" s="202" t="s">
        <v>20</v>
      </c>
      <c r="O897" s="127">
        <v>1</v>
      </c>
      <c r="P897" s="202" t="s">
        <v>25</v>
      </c>
      <c r="Q897" s="202" t="s">
        <v>18</v>
      </c>
      <c r="R897" s="71">
        <f>J897*L897*O897</f>
        <v>66000</v>
      </c>
      <c r="S897" s="168"/>
      <c r="T897" s="7"/>
    </row>
    <row r="898" spans="1:20" s="169" customFormat="1" ht="15" customHeight="1">
      <c r="A898" s="23"/>
      <c r="B898" s="22"/>
      <c r="C898" s="22"/>
      <c r="D898" s="646"/>
      <c r="E898" s="300"/>
      <c r="F898" s="300"/>
      <c r="G898" s="38"/>
      <c r="H898" s="38"/>
      <c r="I898" s="35" t="s">
        <v>364</v>
      </c>
      <c r="J898" s="79">
        <v>30000</v>
      </c>
      <c r="K898" s="202" t="s">
        <v>15</v>
      </c>
      <c r="L898" s="127">
        <v>1</v>
      </c>
      <c r="M898" s="202" t="s">
        <v>178</v>
      </c>
      <c r="N898" s="202" t="s">
        <v>20</v>
      </c>
      <c r="O898" s="127">
        <v>1</v>
      </c>
      <c r="P898" s="202" t="s">
        <v>25</v>
      </c>
      <c r="Q898" s="202" t="s">
        <v>18</v>
      </c>
      <c r="R898" s="71">
        <f>J898*L898*O898</f>
        <v>30000</v>
      </c>
      <c r="S898" s="168"/>
      <c r="T898" s="7"/>
    </row>
    <row r="899" spans="1:20" s="169" customFormat="1" ht="15" customHeight="1">
      <c r="A899" s="23"/>
      <c r="B899" s="22"/>
      <c r="C899" s="22"/>
      <c r="D899" s="646"/>
      <c r="E899" s="300"/>
      <c r="F899" s="300"/>
      <c r="G899" s="38"/>
      <c r="H899" s="38"/>
      <c r="I899" s="551"/>
      <c r="J899" s="161"/>
      <c r="K899" s="552"/>
      <c r="L899" s="553"/>
      <c r="M899" s="552"/>
      <c r="N899" s="552"/>
      <c r="O899" s="553"/>
      <c r="P899" s="552"/>
      <c r="Q899" s="552"/>
      <c r="R899" s="554"/>
      <c r="S899" s="168"/>
      <c r="T899" s="7"/>
    </row>
    <row r="900" spans="1:20" s="169" customFormat="1" ht="15" customHeight="1">
      <c r="A900" s="23"/>
      <c r="B900" s="22"/>
      <c r="C900" s="22"/>
      <c r="D900" s="646"/>
      <c r="E900" s="300"/>
      <c r="F900" s="300"/>
      <c r="G900" s="38"/>
      <c r="H900" s="38"/>
      <c r="I900" s="667" t="s">
        <v>1046</v>
      </c>
      <c r="J900" s="79"/>
      <c r="K900" s="20"/>
      <c r="L900" s="20"/>
      <c r="M900" s="20"/>
      <c r="N900" s="20"/>
      <c r="O900" s="20"/>
      <c r="P900" s="20"/>
      <c r="Q900" s="20"/>
      <c r="R900" s="171">
        <v>300000</v>
      </c>
      <c r="S900" s="168"/>
      <c r="T900" s="7"/>
    </row>
    <row r="901" spans="1:20" s="169" customFormat="1" ht="14.25" customHeight="1">
      <c r="A901" s="23"/>
      <c r="B901" s="23"/>
      <c r="C901" s="88"/>
      <c r="D901" s="88"/>
      <c r="E901" s="33"/>
      <c r="F901" s="33"/>
      <c r="G901" s="517"/>
      <c r="H901" s="502"/>
      <c r="I901" s="256"/>
      <c r="J901" s="180"/>
      <c r="K901" s="150"/>
      <c r="L901" s="150"/>
      <c r="M901" s="150"/>
      <c r="N901" s="150"/>
      <c r="O901" s="150"/>
      <c r="P901" s="150"/>
      <c r="Q901" s="301"/>
      <c r="R901" s="64"/>
      <c r="S901" s="168"/>
      <c r="T901" s="7"/>
    </row>
    <row r="902" spans="1:20" s="169" customFormat="1" ht="15" customHeight="1">
      <c r="A902" s="23"/>
      <c r="B902" s="23"/>
      <c r="C902" s="88"/>
      <c r="D902" s="493"/>
      <c r="E902" s="187"/>
      <c r="F902" s="187"/>
      <c r="G902" s="279"/>
      <c r="H902" s="521"/>
      <c r="I902" s="302"/>
      <c r="J902" s="189"/>
      <c r="K902" s="222"/>
      <c r="L902" s="222"/>
      <c r="M902" s="222"/>
      <c r="N902" s="222"/>
      <c r="O902" s="222"/>
      <c r="P902" s="222"/>
      <c r="Q902" s="222" t="s">
        <v>11</v>
      </c>
      <c r="R902" s="187">
        <f>R856+R862+R867+R874+R887+R894+R900</f>
        <v>2520000</v>
      </c>
      <c r="S902" s="168">
        <v>0</v>
      </c>
      <c r="T902" s="7">
        <f>R902-S902</f>
        <v>2520000</v>
      </c>
    </row>
    <row r="903" spans="1:20" s="169" customFormat="1" ht="15" customHeight="1">
      <c r="A903" s="23"/>
      <c r="B903" s="23"/>
      <c r="C903" s="88"/>
      <c r="D903" s="999" t="s">
        <v>1016</v>
      </c>
      <c r="E903" s="978">
        <v>0</v>
      </c>
      <c r="F903" s="978">
        <f>S906/1000</f>
        <v>0</v>
      </c>
      <c r="G903" s="1002">
        <f>F903+F905-E903-E905</f>
        <v>-3925</v>
      </c>
      <c r="H903" s="997">
        <f>G903/(E903+E905)</f>
        <v>-1</v>
      </c>
      <c r="I903" s="28"/>
      <c r="J903" s="180"/>
      <c r="K903" s="202"/>
      <c r="L903" s="127"/>
      <c r="M903" s="202"/>
      <c r="N903" s="202"/>
      <c r="O903" s="202"/>
      <c r="P903" s="202"/>
      <c r="Q903" s="202"/>
      <c r="R903" s="98"/>
      <c r="S903" s="168"/>
      <c r="T903" s="7"/>
    </row>
    <row r="904" spans="1:20" s="169" customFormat="1" ht="15" customHeight="1">
      <c r="A904" s="23"/>
      <c r="B904" s="23"/>
      <c r="C904" s="88"/>
      <c r="D904" s="1000"/>
      <c r="E904" s="978"/>
      <c r="F904" s="978"/>
      <c r="G904" s="1003"/>
      <c r="H904" s="998"/>
      <c r="I904" s="20"/>
      <c r="J904" s="180"/>
      <c r="K904" s="202"/>
      <c r="L904" s="127"/>
      <c r="M904" s="202"/>
      <c r="N904" s="202"/>
      <c r="O904" s="202"/>
      <c r="P904" s="202"/>
      <c r="Q904" s="202"/>
      <c r="R904" s="98"/>
      <c r="S904" s="168"/>
      <c r="T904" s="7"/>
    </row>
    <row r="905" spans="1:20" s="169" customFormat="1" ht="15" customHeight="1">
      <c r="A905" s="23"/>
      <c r="B905" s="23"/>
      <c r="C905" s="88"/>
      <c r="D905" s="1000"/>
      <c r="E905" s="978">
        <v>3925</v>
      </c>
      <c r="F905" s="978">
        <f>T906/1000</f>
        <v>0</v>
      </c>
      <c r="G905" s="1003"/>
      <c r="H905" s="998"/>
      <c r="I905" s="20"/>
      <c r="J905" s="63"/>
      <c r="K905" s="20"/>
      <c r="L905" s="20"/>
      <c r="M905" s="20"/>
      <c r="N905" s="20"/>
      <c r="O905" s="20"/>
      <c r="P905" s="20"/>
      <c r="Q905" s="20"/>
      <c r="R905" s="171"/>
      <c r="S905" s="168"/>
      <c r="T905" s="7"/>
    </row>
    <row r="906" spans="1:20" s="169" customFormat="1" ht="15" customHeight="1">
      <c r="A906" s="23"/>
      <c r="B906" s="23"/>
      <c r="C906" s="88"/>
      <c r="D906" s="1001"/>
      <c r="E906" s="978"/>
      <c r="F906" s="978"/>
      <c r="G906" s="297"/>
      <c r="H906" s="520"/>
      <c r="I906" s="18"/>
      <c r="J906" s="17"/>
      <c r="K906" s="18"/>
      <c r="L906" s="18"/>
      <c r="M906" s="18"/>
      <c r="N906" s="18"/>
      <c r="O906" s="18"/>
      <c r="P906" s="18"/>
      <c r="Q906" s="18" t="s">
        <v>126</v>
      </c>
      <c r="R906" s="170">
        <f>SUM(R903:R905)</f>
        <v>0</v>
      </c>
      <c r="S906" s="168">
        <v>0</v>
      </c>
      <c r="T906" s="7">
        <f>R906-S906</f>
        <v>0</v>
      </c>
    </row>
    <row r="907" spans="1:20" s="169" customFormat="1" ht="15" customHeight="1">
      <c r="A907" s="23"/>
      <c r="B907" s="23"/>
      <c r="C907" s="88"/>
      <c r="D907" s="942" t="s">
        <v>366</v>
      </c>
      <c r="E907" s="1004">
        <v>3000</v>
      </c>
      <c r="F907" s="1004">
        <f>S912/1000</f>
        <v>3000</v>
      </c>
      <c r="G907" s="935">
        <f>F907+F909-E907-E909</f>
        <v>0</v>
      </c>
      <c r="H907" s="1005">
        <f>G907/(E907+E909)</f>
        <v>0</v>
      </c>
      <c r="I907" s="35" t="s">
        <v>367</v>
      </c>
      <c r="J907" s="79"/>
      <c r="K907" s="202"/>
      <c r="L907" s="202"/>
      <c r="M907" s="202"/>
      <c r="N907" s="202"/>
      <c r="O907" s="202"/>
      <c r="P907" s="202"/>
      <c r="Q907" s="202"/>
      <c r="R907" s="159">
        <f>SUM(R908:R910)</f>
        <v>3000000</v>
      </c>
      <c r="S907" s="168"/>
      <c r="T907" s="7"/>
    </row>
    <row r="908" spans="1:20" s="169" customFormat="1" ht="15" customHeight="1">
      <c r="A908" s="23"/>
      <c r="B908" s="23"/>
      <c r="C908" s="88"/>
      <c r="D908" s="942"/>
      <c r="E908" s="1004"/>
      <c r="F908" s="1004"/>
      <c r="G908" s="935"/>
      <c r="H908" s="1005"/>
      <c r="I908" s="35" t="s">
        <v>1056</v>
      </c>
      <c r="J908" s="728">
        <v>25000</v>
      </c>
      <c r="K908" s="202" t="s">
        <v>15</v>
      </c>
      <c r="L908" s="127">
        <v>1</v>
      </c>
      <c r="M908" s="202" t="s">
        <v>16</v>
      </c>
      <c r="N908" s="202" t="s">
        <v>20</v>
      </c>
      <c r="O908" s="127">
        <v>40</v>
      </c>
      <c r="P908" s="202" t="s">
        <v>1059</v>
      </c>
      <c r="Q908" s="202" t="s">
        <v>18</v>
      </c>
      <c r="R908" s="201">
        <f>J908*L908*O908</f>
        <v>1000000</v>
      </c>
      <c r="S908" s="168"/>
      <c r="T908" s="7"/>
    </row>
    <row r="909" spans="1:20" s="169" customFormat="1" ht="15" customHeight="1">
      <c r="A909" s="23"/>
      <c r="B909" s="23"/>
      <c r="C909" s="276"/>
      <c r="D909" s="942"/>
      <c r="E909" s="1006">
        <v>0</v>
      </c>
      <c r="F909" s="1006">
        <f>T912/1000</f>
        <v>0</v>
      </c>
      <c r="G909" s="935"/>
      <c r="H909" s="1005"/>
      <c r="I909" s="35" t="s">
        <v>1057</v>
      </c>
      <c r="J909" s="728">
        <v>20000</v>
      </c>
      <c r="K909" s="202" t="s">
        <v>15</v>
      </c>
      <c r="L909" s="127">
        <v>1</v>
      </c>
      <c r="M909" s="202" t="s">
        <v>16</v>
      </c>
      <c r="N909" s="202" t="s">
        <v>20</v>
      </c>
      <c r="O909" s="127">
        <v>50</v>
      </c>
      <c r="P909" s="202" t="s">
        <v>151</v>
      </c>
      <c r="Q909" s="202" t="s">
        <v>18</v>
      </c>
      <c r="R909" s="201">
        <f>J909*L909*O909</f>
        <v>1000000</v>
      </c>
      <c r="S909" s="168"/>
      <c r="T909" s="7"/>
    </row>
    <row r="910" spans="1:20" s="169" customFormat="1" ht="15" customHeight="1">
      <c r="A910" s="23"/>
      <c r="B910" s="23"/>
      <c r="C910" s="158"/>
      <c r="D910" s="942"/>
      <c r="E910" s="1004"/>
      <c r="F910" s="1004"/>
      <c r="G910" s="935"/>
      <c r="H910" s="1005"/>
      <c r="I910" s="35" t="s">
        <v>1058</v>
      </c>
      <c r="J910" s="728">
        <v>20000</v>
      </c>
      <c r="K910" s="202" t="s">
        <v>15</v>
      </c>
      <c r="L910" s="127">
        <v>2</v>
      </c>
      <c r="M910" s="202" t="s">
        <v>16</v>
      </c>
      <c r="N910" s="202" t="s">
        <v>20</v>
      </c>
      <c r="O910" s="127">
        <v>25</v>
      </c>
      <c r="P910" s="202" t="s">
        <v>151</v>
      </c>
      <c r="Q910" s="202" t="s">
        <v>18</v>
      </c>
      <c r="R910" s="201">
        <f>J910*L910*O910</f>
        <v>1000000</v>
      </c>
      <c r="S910" s="168"/>
      <c r="T910" s="7"/>
    </row>
    <row r="911" spans="1:20" s="169" customFormat="1" ht="15" customHeight="1">
      <c r="A911" s="23"/>
      <c r="B911" s="88"/>
      <c r="C911" s="158"/>
      <c r="D911" s="942"/>
      <c r="E911" s="1004"/>
      <c r="F911" s="1004"/>
      <c r="G911" s="935"/>
      <c r="H911" s="1005"/>
      <c r="I911" s="35"/>
      <c r="J911" s="79"/>
      <c r="K911" s="202"/>
      <c r="L911" s="202"/>
      <c r="M911" s="21"/>
      <c r="N911" s="21"/>
      <c r="O911" s="21"/>
      <c r="P911" s="21"/>
      <c r="Q911" s="158"/>
      <c r="R911" s="98"/>
      <c r="S911" s="168"/>
      <c r="T911" s="7"/>
    </row>
    <row r="912" spans="1:20" s="169" customFormat="1" ht="15" customHeight="1">
      <c r="A912" s="23"/>
      <c r="B912" s="23"/>
      <c r="C912" s="158"/>
      <c r="D912" s="493"/>
      <c r="E912" s="140"/>
      <c r="F912" s="140"/>
      <c r="G912" s="279"/>
      <c r="H912" s="521"/>
      <c r="I912" s="16"/>
      <c r="J912" s="17"/>
      <c r="K912" s="221"/>
      <c r="L912" s="304"/>
      <c r="M912" s="304"/>
      <c r="N912" s="304"/>
      <c r="O912" s="304"/>
      <c r="P912" s="304"/>
      <c r="Q912" s="221" t="s">
        <v>23</v>
      </c>
      <c r="R912" s="187">
        <v>3000000</v>
      </c>
      <c r="S912" s="168">
        <f>SUM(R907)</f>
        <v>3000000</v>
      </c>
      <c r="T912" s="7">
        <f>R912-S912</f>
        <v>0</v>
      </c>
    </row>
    <row r="913" spans="1:20" s="169" customFormat="1" ht="15" customHeight="1">
      <c r="A913" s="23"/>
      <c r="B913" s="23"/>
      <c r="C913" s="939" t="s">
        <v>368</v>
      </c>
      <c r="D913" s="494"/>
      <c r="E913" s="923">
        <f>SUM(E917,E935,E949,E959,E965,E975,E995,E1008,E979,E983,E987,E991,E1002)</f>
        <v>16926</v>
      </c>
      <c r="F913" s="923">
        <f>SUM(F917,F935,F949,F959,F965,F975,F995,F1008,F979,F983,F987,F991,F1002)</f>
        <v>18000</v>
      </c>
      <c r="G913" s="1009">
        <f>F913+F915-E913-E915</f>
        <v>-101642.00033333333</v>
      </c>
      <c r="H913" s="962">
        <f>G913/(E913+E915)</f>
        <v>-0.45584687153360182</v>
      </c>
      <c r="I913" s="106"/>
      <c r="J913" s="107"/>
      <c r="K913" s="28"/>
      <c r="L913" s="28"/>
      <c r="M913" s="28"/>
      <c r="N913" s="28"/>
      <c r="O913" s="28"/>
      <c r="P913" s="28"/>
      <c r="Q913" s="28"/>
      <c r="R913" s="167"/>
      <c r="S913" s="168"/>
      <c r="T913" s="7"/>
    </row>
    <row r="914" spans="1:20" s="169" customFormat="1" ht="15" customHeight="1">
      <c r="A914" s="23"/>
      <c r="B914" s="23"/>
      <c r="C914" s="940"/>
      <c r="D914" s="32"/>
      <c r="E914" s="918"/>
      <c r="F914" s="918"/>
      <c r="G914" s="1010"/>
      <c r="H914" s="964"/>
      <c r="I914" s="35"/>
      <c r="J914" s="21"/>
      <c r="K914" s="20"/>
      <c r="L914" s="20"/>
      <c r="M914" s="20"/>
      <c r="N914" s="20"/>
      <c r="O914" s="20"/>
      <c r="P914" s="20"/>
      <c r="Q914" s="20"/>
      <c r="R914" s="171"/>
      <c r="S914" s="168"/>
      <c r="T914" s="7"/>
    </row>
    <row r="915" spans="1:20" s="169" customFormat="1" ht="15" customHeight="1">
      <c r="A915" s="23"/>
      <c r="B915" s="23"/>
      <c r="C915" s="940"/>
      <c r="D915" s="32"/>
      <c r="E915" s="923">
        <f>SUM(E919,E951,E961,E967,E977,E997,E1009,E937,E981,E985,E993,E1004,E989)</f>
        <v>206048</v>
      </c>
      <c r="F915" s="923">
        <f>SUM(F919,F951,F961,F967,F977,F997,F1009,F937,F981,F985,F993,F1004,F989)</f>
        <v>103331.99966666667</v>
      </c>
      <c r="G915" s="1010"/>
      <c r="H915" s="964"/>
      <c r="I915" s="35"/>
      <c r="J915" s="21"/>
      <c r="K915" s="20"/>
      <c r="L915" s="20"/>
      <c r="M915" s="20"/>
      <c r="N915" s="20"/>
      <c r="O915" s="20"/>
      <c r="P915" s="20"/>
      <c r="Q915" s="20"/>
      <c r="R915" s="171"/>
      <c r="S915" s="168"/>
      <c r="T915" s="7"/>
    </row>
    <row r="916" spans="1:20" s="169" customFormat="1" ht="15" customHeight="1">
      <c r="A916" s="23"/>
      <c r="B916" s="23"/>
      <c r="C916" s="961"/>
      <c r="D916" s="495"/>
      <c r="E916" s="918"/>
      <c r="F916" s="918"/>
      <c r="G916" s="1011"/>
      <c r="H916" s="963"/>
      <c r="I916" s="16"/>
      <c r="J916" s="17"/>
      <c r="K916" s="18"/>
      <c r="L916" s="18"/>
      <c r="M916" s="18"/>
      <c r="N916" s="18"/>
      <c r="O916" s="18"/>
      <c r="P916" s="18"/>
      <c r="Q916" s="18"/>
      <c r="R916" s="170"/>
      <c r="S916" s="168">
        <f>SUM(S934,S948,S958,S964,S974,S978,S1001,S1011,S982,S986,S990,S994,)</f>
        <v>18000000</v>
      </c>
      <c r="T916" s="168">
        <f>SUM(T917:T1011)</f>
        <v>103331999.66666666</v>
      </c>
    </row>
    <row r="917" spans="1:20" s="169" customFormat="1" ht="15" customHeight="1">
      <c r="A917" s="23"/>
      <c r="B917" s="23"/>
      <c r="C917" s="173"/>
      <c r="D917" s="943" t="s">
        <v>1227</v>
      </c>
      <c r="E917" s="925">
        <v>0</v>
      </c>
      <c r="F917" s="925">
        <v>0</v>
      </c>
      <c r="G917" s="933">
        <f>F917+F919-E917-E919</f>
        <v>-17114</v>
      </c>
      <c r="H917" s="1007">
        <f>G917/(E917+E919)</f>
        <v>-0.31870239669267586</v>
      </c>
      <c r="I917" s="106" t="s">
        <v>369</v>
      </c>
      <c r="J917" s="226"/>
      <c r="K917" s="237"/>
      <c r="L917" s="237"/>
      <c r="M917" s="237"/>
      <c r="N917" s="237"/>
      <c r="O917" s="237"/>
      <c r="P917" s="237"/>
      <c r="Q917" s="237"/>
      <c r="R917" s="217">
        <f>R918+R922+R923</f>
        <v>35610000</v>
      </c>
      <c r="S917" s="168"/>
      <c r="T917" s="7"/>
    </row>
    <row r="918" spans="1:20" s="169" customFormat="1" ht="15" customHeight="1">
      <c r="A918" s="23"/>
      <c r="B918" s="23"/>
      <c r="C918" s="88"/>
      <c r="D918" s="942"/>
      <c r="E918" s="926"/>
      <c r="F918" s="926"/>
      <c r="G918" s="935"/>
      <c r="H918" s="1005"/>
      <c r="I918" s="35" t="s">
        <v>370</v>
      </c>
      <c r="J918" s="20"/>
      <c r="K918" s="158"/>
      <c r="L918" s="158"/>
      <c r="M918" s="158"/>
      <c r="N918" s="158"/>
      <c r="O918" s="158"/>
      <c r="P918" s="158"/>
      <c r="Q918" s="202"/>
      <c r="R918" s="98">
        <f>SUM(R919:R921)</f>
        <v>29660000</v>
      </c>
      <c r="S918" s="168"/>
      <c r="T918" s="7"/>
    </row>
    <row r="919" spans="1:20" s="169" customFormat="1" ht="15" customHeight="1">
      <c r="A919" s="23"/>
      <c r="B919" s="23"/>
      <c r="C919" s="158"/>
      <c r="D919" s="942"/>
      <c r="E919" s="508">
        <v>53699</v>
      </c>
      <c r="F919" s="58">
        <f>T934/1000</f>
        <v>36585</v>
      </c>
      <c r="G919" s="935"/>
      <c r="H919" s="1005"/>
      <c r="I919" s="35" t="s">
        <v>371</v>
      </c>
      <c r="J919" s="79">
        <v>1750000</v>
      </c>
      <c r="K919" s="202" t="s">
        <v>20</v>
      </c>
      <c r="L919" s="127">
        <v>1</v>
      </c>
      <c r="M919" s="202" t="s">
        <v>21</v>
      </c>
      <c r="N919" s="202" t="s">
        <v>20</v>
      </c>
      <c r="O919" s="127">
        <v>12</v>
      </c>
      <c r="P919" s="202" t="s">
        <v>19</v>
      </c>
      <c r="Q919" s="202" t="s">
        <v>43</v>
      </c>
      <c r="R919" s="98">
        <f>J919*L919*O919</f>
        <v>21000000</v>
      </c>
      <c r="S919" s="168"/>
      <c r="T919" s="7"/>
    </row>
    <row r="920" spans="1:20" s="169" customFormat="1" ht="15" customHeight="1">
      <c r="A920" s="23"/>
      <c r="B920" s="23"/>
      <c r="C920" s="158"/>
      <c r="D920" s="686"/>
      <c r="E920" s="509"/>
      <c r="F920" s="447"/>
      <c r="G920" s="143"/>
      <c r="H920" s="531"/>
      <c r="I920" s="35" t="s">
        <v>372</v>
      </c>
      <c r="J920" s="79">
        <v>1750000</v>
      </c>
      <c r="K920" s="202" t="s">
        <v>20</v>
      </c>
      <c r="L920" s="127">
        <v>1</v>
      </c>
      <c r="M920" s="202" t="s">
        <v>21</v>
      </c>
      <c r="N920" s="202" t="s">
        <v>20</v>
      </c>
      <c r="O920" s="127">
        <v>2</v>
      </c>
      <c r="P920" s="202" t="s">
        <v>19</v>
      </c>
      <c r="Q920" s="202" t="s">
        <v>22</v>
      </c>
      <c r="R920" s="98">
        <f>J920*L920*O920</f>
        <v>3500000</v>
      </c>
      <c r="S920" s="168"/>
      <c r="T920" s="7"/>
    </row>
    <row r="921" spans="1:20" s="169" customFormat="1" ht="15" customHeight="1">
      <c r="A921" s="23"/>
      <c r="B921" s="23"/>
      <c r="C921" s="158"/>
      <c r="D921" s="522"/>
      <c r="E921" s="33"/>
      <c r="F921" s="33"/>
      <c r="G921" s="143"/>
      <c r="H921" s="531"/>
      <c r="I921" s="35" t="s">
        <v>1009</v>
      </c>
      <c r="J921" s="79">
        <v>430000</v>
      </c>
      <c r="K921" s="202" t="s">
        <v>20</v>
      </c>
      <c r="L921" s="127">
        <v>1</v>
      </c>
      <c r="M921" s="202" t="s">
        <v>21</v>
      </c>
      <c r="N921" s="202" t="s">
        <v>20</v>
      </c>
      <c r="O921" s="127">
        <v>12</v>
      </c>
      <c r="P921" s="202" t="s">
        <v>19</v>
      </c>
      <c r="Q921" s="202" t="s">
        <v>43</v>
      </c>
      <c r="R921" s="98">
        <f>J921*L921*O921</f>
        <v>5160000</v>
      </c>
      <c r="S921" s="168"/>
      <c r="T921" s="7"/>
    </row>
    <row r="922" spans="1:20" s="169" customFormat="1" ht="15" customHeight="1">
      <c r="A922" s="23"/>
      <c r="B922" s="88"/>
      <c r="C922" s="158"/>
      <c r="D922" s="522"/>
      <c r="E922" s="33"/>
      <c r="F922" s="33"/>
      <c r="G922" s="143"/>
      <c r="H922" s="511"/>
      <c r="I922" s="35" t="s">
        <v>373</v>
      </c>
      <c r="J922" s="79">
        <f>SUM(R919:R920)</f>
        <v>24500000</v>
      </c>
      <c r="K922" s="202" t="s">
        <v>20</v>
      </c>
      <c r="L922" s="202" t="s">
        <v>374</v>
      </c>
      <c r="M922" s="202" t="s">
        <v>294</v>
      </c>
      <c r="N922" s="202"/>
      <c r="O922" s="1008"/>
      <c r="P922" s="1008"/>
      <c r="Q922" s="202" t="s">
        <v>43</v>
      </c>
      <c r="R922" s="98">
        <f>J922*L922</f>
        <v>2450000</v>
      </c>
      <c r="S922" s="168"/>
      <c r="T922" s="7"/>
    </row>
    <row r="923" spans="1:20" s="169" customFormat="1" ht="15" customHeight="1">
      <c r="A923" s="23"/>
      <c r="B923" s="88"/>
      <c r="C923" s="158"/>
      <c r="D923" s="522"/>
      <c r="E923" s="33"/>
      <c r="F923" s="33"/>
      <c r="G923" s="143"/>
      <c r="H923" s="511"/>
      <c r="I923" s="35" t="s">
        <v>375</v>
      </c>
      <c r="J923" s="199"/>
      <c r="K923" s="27"/>
      <c r="L923" s="20"/>
      <c r="M923" s="202"/>
      <c r="N923" s="202"/>
      <c r="O923" s="202"/>
      <c r="P923" s="202"/>
      <c r="Q923" s="202"/>
      <c r="R923" s="98">
        <f>R924+R925</f>
        <v>3500000</v>
      </c>
      <c r="S923" s="168"/>
      <c r="T923" s="7"/>
    </row>
    <row r="924" spans="1:20" s="169" customFormat="1" ht="15" customHeight="1">
      <c r="A924" s="23"/>
      <c r="B924" s="88"/>
      <c r="C924" s="158"/>
      <c r="D924" s="646"/>
      <c r="E924" s="33"/>
      <c r="F924" s="33"/>
      <c r="G924" s="143"/>
      <c r="H924" s="655"/>
      <c r="I924" s="35" t="s">
        <v>945</v>
      </c>
      <c r="J924" s="199">
        <v>1750000</v>
      </c>
      <c r="K924" s="27" t="s">
        <v>847</v>
      </c>
      <c r="L924" s="20">
        <v>12</v>
      </c>
      <c r="M924" s="202" t="s">
        <v>850</v>
      </c>
      <c r="N924" s="202" t="s">
        <v>847</v>
      </c>
      <c r="O924" s="202" t="s">
        <v>947</v>
      </c>
      <c r="P924" s="202"/>
      <c r="Q924" s="202" t="s">
        <v>43</v>
      </c>
      <c r="R924" s="98">
        <v>1750000</v>
      </c>
      <c r="S924" s="168"/>
      <c r="T924" s="7"/>
    </row>
    <row r="925" spans="1:20" s="169" customFormat="1" ht="15" customHeight="1">
      <c r="A925" s="23"/>
      <c r="B925" s="88"/>
      <c r="C925" s="158"/>
      <c r="D925" s="646"/>
      <c r="E925" s="33"/>
      <c r="F925" s="33"/>
      <c r="G925" s="143"/>
      <c r="H925" s="655"/>
      <c r="I925" s="35" t="s">
        <v>946</v>
      </c>
      <c r="J925" s="199">
        <v>1750000</v>
      </c>
      <c r="K925" s="27" t="s">
        <v>847</v>
      </c>
      <c r="L925" s="20">
        <v>12</v>
      </c>
      <c r="M925" s="202" t="s">
        <v>850</v>
      </c>
      <c r="N925" s="202" t="s">
        <v>847</v>
      </c>
      <c r="O925" s="202" t="s">
        <v>947</v>
      </c>
      <c r="P925" s="202"/>
      <c r="Q925" s="202" t="s">
        <v>43</v>
      </c>
      <c r="R925" s="98">
        <v>1750000</v>
      </c>
      <c r="S925" s="168"/>
      <c r="T925" s="7"/>
    </row>
    <row r="926" spans="1:20" s="169" customFormat="1" ht="15" customHeight="1">
      <c r="A926" s="23"/>
      <c r="B926" s="88"/>
      <c r="C926" s="158"/>
      <c r="D926" s="522"/>
      <c r="E926" s="33"/>
      <c r="F926" s="33"/>
      <c r="G926" s="143"/>
      <c r="H926" s="511"/>
      <c r="I926" s="35" t="s">
        <v>376</v>
      </c>
      <c r="J926" s="158"/>
      <c r="K926" s="158"/>
      <c r="L926" s="158"/>
      <c r="M926" s="202"/>
      <c r="N926" s="202"/>
      <c r="O926" s="202"/>
      <c r="P926" s="202"/>
      <c r="Q926" s="202"/>
      <c r="R926" s="98">
        <f>SUM(R927:R928)</f>
        <v>375000</v>
      </c>
      <c r="S926" s="168"/>
      <c r="T926" s="7"/>
    </row>
    <row r="927" spans="1:20" s="169" customFormat="1" ht="15" customHeight="1">
      <c r="A927" s="23"/>
      <c r="B927" s="88"/>
      <c r="C927" s="158"/>
      <c r="D927" s="522"/>
      <c r="E927" s="33"/>
      <c r="F927" s="33"/>
      <c r="G927" s="143"/>
      <c r="H927" s="511"/>
      <c r="I927" s="35" t="s">
        <v>680</v>
      </c>
      <c r="J927" s="79">
        <v>75000</v>
      </c>
      <c r="K927" s="202" t="s">
        <v>20</v>
      </c>
      <c r="L927" s="127">
        <v>1</v>
      </c>
      <c r="M927" s="202" t="s">
        <v>25</v>
      </c>
      <c r="N927" s="202"/>
      <c r="O927" s="202"/>
      <c r="P927" s="202"/>
      <c r="Q927" s="202" t="s">
        <v>43</v>
      </c>
      <c r="R927" s="98">
        <f>J927*L927</f>
        <v>75000</v>
      </c>
      <c r="S927" s="168"/>
      <c r="T927" s="7"/>
    </row>
    <row r="928" spans="1:20" s="169" customFormat="1" ht="15" customHeight="1">
      <c r="A928" s="23"/>
      <c r="B928" s="88"/>
      <c r="C928" s="158"/>
      <c r="D928" s="781"/>
      <c r="E928" s="33"/>
      <c r="F928" s="33"/>
      <c r="G928" s="143"/>
      <c r="H928" s="780"/>
      <c r="I928" s="35" t="s">
        <v>1228</v>
      </c>
      <c r="J928" s="79"/>
      <c r="K928" s="202"/>
      <c r="L928" s="127"/>
      <c r="M928" s="202"/>
      <c r="N928" s="202"/>
      <c r="O928" s="202"/>
      <c r="P928" s="202"/>
      <c r="Q928" s="202"/>
      <c r="R928" s="98">
        <v>300000</v>
      </c>
      <c r="S928" s="168"/>
      <c r="T928" s="7"/>
    </row>
    <row r="929" spans="1:20" s="169" customFormat="1" ht="15" customHeight="1">
      <c r="A929" s="23"/>
      <c r="B929" s="88"/>
      <c r="C929" s="158"/>
      <c r="D929" s="783"/>
      <c r="E929" s="33"/>
      <c r="F929" s="33"/>
      <c r="G929" s="143"/>
      <c r="H929" s="782"/>
      <c r="I929" s="35" t="s">
        <v>1239</v>
      </c>
      <c r="J929" s="158"/>
      <c r="K929" s="158"/>
      <c r="L929" s="158"/>
      <c r="M929" s="202"/>
      <c r="N929" s="202"/>
      <c r="O929" s="202"/>
      <c r="P929" s="202"/>
      <c r="Q929" s="202"/>
      <c r="R929" s="98">
        <f>SUM(R930:R931)</f>
        <v>600000</v>
      </c>
      <c r="S929" s="168"/>
      <c r="T929" s="7"/>
    </row>
    <row r="930" spans="1:20" s="169" customFormat="1" ht="15" customHeight="1">
      <c r="A930" s="23"/>
      <c r="B930" s="88"/>
      <c r="C930" s="158"/>
      <c r="D930" s="783"/>
      <c r="E930" s="33"/>
      <c r="F930" s="33"/>
      <c r="G930" s="143"/>
      <c r="H930" s="782"/>
      <c r="I930" s="35" t="s">
        <v>1240</v>
      </c>
      <c r="J930" s="158"/>
      <c r="K930" s="158"/>
      <c r="L930" s="158"/>
      <c r="M930" s="202"/>
      <c r="N930" s="202"/>
      <c r="O930" s="202"/>
      <c r="P930" s="202"/>
      <c r="Q930" s="202"/>
      <c r="R930" s="98">
        <v>523000</v>
      </c>
      <c r="S930" s="168"/>
      <c r="T930" s="7"/>
    </row>
    <row r="931" spans="1:20" s="169" customFormat="1" ht="15" customHeight="1">
      <c r="A931" s="23"/>
      <c r="B931" s="88"/>
      <c r="C931" s="158"/>
      <c r="D931" s="783"/>
      <c r="E931" s="33"/>
      <c r="F931" s="33"/>
      <c r="G931" s="143"/>
      <c r="H931" s="782"/>
      <c r="I931" s="35" t="s">
        <v>1241</v>
      </c>
      <c r="J931" s="79">
        <v>7700</v>
      </c>
      <c r="K931" s="202" t="s">
        <v>20</v>
      </c>
      <c r="L931" s="127">
        <v>10</v>
      </c>
      <c r="M931" s="202" t="s">
        <v>34</v>
      </c>
      <c r="N931" s="202"/>
      <c r="O931" s="202"/>
      <c r="P931" s="202"/>
      <c r="Q931" s="202" t="s">
        <v>43</v>
      </c>
      <c r="R931" s="98">
        <f>J931*L931</f>
        <v>77000</v>
      </c>
      <c r="S931" s="168"/>
      <c r="T931" s="7"/>
    </row>
    <row r="932" spans="1:20" s="169" customFormat="1" ht="15" customHeight="1">
      <c r="A932" s="23"/>
      <c r="B932" s="88"/>
      <c r="C932" s="158"/>
      <c r="D932" s="522"/>
      <c r="E932" s="33"/>
      <c r="F932" s="33"/>
      <c r="G932" s="143"/>
      <c r="H932" s="511"/>
      <c r="I932" s="287" t="s">
        <v>377</v>
      </c>
      <c r="J932" s="398"/>
      <c r="K932" s="399"/>
      <c r="L932" s="400"/>
      <c r="M932" s="399"/>
      <c r="N932" s="399"/>
      <c r="O932" s="399"/>
      <c r="P932" s="399"/>
      <c r="Q932" s="399"/>
      <c r="R932" s="288">
        <v>0</v>
      </c>
      <c r="S932" s="168"/>
      <c r="T932" s="7"/>
    </row>
    <row r="933" spans="1:20" s="169" customFormat="1" ht="15" customHeight="1">
      <c r="A933" s="23"/>
      <c r="B933" s="88"/>
      <c r="C933" s="158"/>
      <c r="D933" s="522"/>
      <c r="E933" s="33"/>
      <c r="F933" s="33"/>
      <c r="G933" s="143"/>
      <c r="H933" s="511"/>
      <c r="I933" s="35"/>
      <c r="J933" s="79"/>
      <c r="K933" s="202"/>
      <c r="L933" s="202"/>
      <c r="M933" s="202"/>
      <c r="N933" s="202"/>
      <c r="O933" s="202"/>
      <c r="P933" s="202"/>
      <c r="Q933" s="202"/>
      <c r="R933" s="98"/>
      <c r="S933" s="168"/>
      <c r="T933" s="7"/>
    </row>
    <row r="934" spans="1:20" s="169" customFormat="1" ht="15" customHeight="1">
      <c r="A934" s="23"/>
      <c r="B934" s="23"/>
      <c r="C934" s="158"/>
      <c r="D934" s="493"/>
      <c r="E934" s="140"/>
      <c r="F934" s="140"/>
      <c r="G934" s="279"/>
      <c r="H934" s="521"/>
      <c r="I934" s="16"/>
      <c r="J934" s="17"/>
      <c r="K934" s="221"/>
      <c r="L934" s="304"/>
      <c r="M934" s="304"/>
      <c r="N934" s="304"/>
      <c r="O934" s="304"/>
      <c r="P934" s="304"/>
      <c r="Q934" s="221" t="s">
        <v>11</v>
      </c>
      <c r="R934" s="187">
        <f>SUM(R917,R926,R933,R932,R929)</f>
        <v>36585000</v>
      </c>
      <c r="S934" s="168"/>
      <c r="T934" s="7">
        <f>R934-S934</f>
        <v>36585000</v>
      </c>
    </row>
    <row r="935" spans="1:20" s="169" customFormat="1" ht="15" customHeight="1">
      <c r="A935" s="23"/>
      <c r="B935" s="23"/>
      <c r="C935" s="88"/>
      <c r="D935" s="942" t="s">
        <v>378</v>
      </c>
      <c r="E935" s="966">
        <v>0</v>
      </c>
      <c r="F935" s="966">
        <f>S948/1000</f>
        <v>0</v>
      </c>
      <c r="G935" s="935">
        <f>E935+E937-F935-F937</f>
        <v>-1441</v>
      </c>
      <c r="H935" s="964">
        <f>G935/(E935+E937)</f>
        <v>-0.19383911756793112</v>
      </c>
      <c r="I935" s="106" t="s">
        <v>379</v>
      </c>
      <c r="J935" s="156">
        <v>100000</v>
      </c>
      <c r="K935" s="237" t="s">
        <v>24</v>
      </c>
      <c r="L935" s="83">
        <v>12</v>
      </c>
      <c r="M935" s="237" t="s">
        <v>34</v>
      </c>
      <c r="N935" s="237" t="s">
        <v>1</v>
      </c>
      <c r="O935" s="237"/>
      <c r="P935" s="237"/>
      <c r="Q935" s="237" t="s">
        <v>22</v>
      </c>
      <c r="R935" s="217">
        <f>J935*L935</f>
        <v>1200000</v>
      </c>
      <c r="S935" s="168"/>
      <c r="T935" s="7"/>
    </row>
    <row r="936" spans="1:20" s="169" customFormat="1" ht="15" customHeight="1">
      <c r="A936" s="23"/>
      <c r="B936" s="23"/>
      <c r="C936" s="88"/>
      <c r="D936" s="942"/>
      <c r="E936" s="1012"/>
      <c r="F936" s="1012"/>
      <c r="G936" s="935"/>
      <c r="H936" s="964"/>
      <c r="I936" s="35" t="s">
        <v>380</v>
      </c>
      <c r="J936" s="137"/>
      <c r="K936" s="202"/>
      <c r="L936" s="202"/>
      <c r="M936" s="202"/>
      <c r="N936" s="202"/>
      <c r="O936" s="202"/>
      <c r="P936" s="202"/>
      <c r="Q936" s="202"/>
      <c r="R936" s="305">
        <f>SUM(R937:R938)</f>
        <v>3400000</v>
      </c>
      <c r="S936" s="168"/>
      <c r="T936" s="7"/>
    </row>
    <row r="937" spans="1:20" s="169" customFormat="1" ht="15" customHeight="1">
      <c r="A937" s="23"/>
      <c r="B937" s="23"/>
      <c r="C937" s="88"/>
      <c r="D937" s="942"/>
      <c r="E937" s="504">
        <v>7434</v>
      </c>
      <c r="F937" s="504">
        <f>T948/1000</f>
        <v>8875</v>
      </c>
      <c r="G937" s="935"/>
      <c r="H937" s="964"/>
      <c r="I937" s="35" t="s">
        <v>171</v>
      </c>
      <c r="J937" s="79">
        <v>200000</v>
      </c>
      <c r="K937" s="202" t="s">
        <v>381</v>
      </c>
      <c r="L937" s="127">
        <v>16</v>
      </c>
      <c r="M937" s="202" t="s">
        <v>25</v>
      </c>
      <c r="N937" s="202"/>
      <c r="O937" s="202"/>
      <c r="P937" s="202"/>
      <c r="Q937" s="202" t="s">
        <v>382</v>
      </c>
      <c r="R937" s="98">
        <f>J937*L937</f>
        <v>3200000</v>
      </c>
      <c r="S937" s="168"/>
      <c r="T937" s="7"/>
    </row>
    <row r="938" spans="1:20" s="169" customFormat="1" ht="15" customHeight="1">
      <c r="A938" s="23"/>
      <c r="B938" s="23"/>
      <c r="C938" s="88"/>
      <c r="D938" s="942"/>
      <c r="E938" s="504"/>
      <c r="F938" s="504"/>
      <c r="G938" s="935"/>
      <c r="H938" s="964"/>
      <c r="I938" s="35" t="s">
        <v>383</v>
      </c>
      <c r="J938" s="79">
        <v>100000</v>
      </c>
      <c r="K938" s="202" t="s">
        <v>381</v>
      </c>
      <c r="L938" s="127">
        <v>2</v>
      </c>
      <c r="M938" s="202" t="s">
        <v>25</v>
      </c>
      <c r="N938" s="202"/>
      <c r="O938" s="202"/>
      <c r="P938" s="202"/>
      <c r="Q938" s="202" t="s">
        <v>382</v>
      </c>
      <c r="R938" s="98">
        <f>J938*L938</f>
        <v>200000</v>
      </c>
      <c r="S938" s="168"/>
      <c r="T938" s="7"/>
    </row>
    <row r="939" spans="1:20" s="169" customFormat="1" ht="15" customHeight="1">
      <c r="A939" s="23"/>
      <c r="B939" s="23"/>
      <c r="C939" s="88"/>
      <c r="D939" s="942"/>
      <c r="E939" s="504"/>
      <c r="F939" s="504"/>
      <c r="G939" s="935"/>
      <c r="H939" s="964"/>
      <c r="I939" s="35" t="s">
        <v>384</v>
      </c>
      <c r="J939" s="79">
        <v>3000</v>
      </c>
      <c r="K939" s="202" t="s">
        <v>381</v>
      </c>
      <c r="L939" s="127">
        <v>8</v>
      </c>
      <c r="M939" s="202" t="s">
        <v>21</v>
      </c>
      <c r="N939" s="202" t="s">
        <v>381</v>
      </c>
      <c r="O939" s="127">
        <v>10</v>
      </c>
      <c r="P939" s="202" t="s">
        <v>25</v>
      </c>
      <c r="Q939" s="202" t="s">
        <v>382</v>
      </c>
      <c r="R939" s="98">
        <f>J939*L939*O939</f>
        <v>240000</v>
      </c>
      <c r="S939" s="168"/>
      <c r="T939" s="7"/>
    </row>
    <row r="940" spans="1:20" s="169" customFormat="1" ht="15" customHeight="1">
      <c r="A940" s="23"/>
      <c r="B940" s="23"/>
      <c r="C940" s="23"/>
      <c r="D940" s="22"/>
      <c r="E940" s="104"/>
      <c r="F940" s="104"/>
      <c r="G940" s="39"/>
      <c r="H940" s="39"/>
      <c r="I940" s="35" t="s">
        <v>386</v>
      </c>
      <c r="J940" s="63"/>
      <c r="K940" s="202" t="s">
        <v>73</v>
      </c>
      <c r="L940" s="202" t="s">
        <v>73</v>
      </c>
      <c r="M940" s="202"/>
      <c r="N940" s="202"/>
      <c r="O940" s="202"/>
      <c r="P940" s="202" t="s">
        <v>73</v>
      </c>
      <c r="Q940" s="202" t="s">
        <v>73</v>
      </c>
      <c r="R940" s="98">
        <f>SUM(R941:R946)</f>
        <v>3975000</v>
      </c>
      <c r="S940" s="168"/>
      <c r="T940" s="7"/>
    </row>
    <row r="941" spans="1:20" s="169" customFormat="1" ht="15" customHeight="1">
      <c r="A941" s="23"/>
      <c r="B941" s="23"/>
      <c r="C941" s="23"/>
      <c r="D941" s="22"/>
      <c r="E941" s="104"/>
      <c r="F941" s="104"/>
      <c r="G941" s="39"/>
      <c r="H941" s="39"/>
      <c r="I941" s="35" t="s">
        <v>221</v>
      </c>
      <c r="J941" s="63">
        <v>40000</v>
      </c>
      <c r="K941" s="126" t="s">
        <v>381</v>
      </c>
      <c r="L941" s="126">
        <v>80</v>
      </c>
      <c r="M941" s="126" t="s">
        <v>21</v>
      </c>
      <c r="N941" s="126"/>
      <c r="O941" s="126"/>
      <c r="P941" s="126"/>
      <c r="Q941" s="126" t="s">
        <v>382</v>
      </c>
      <c r="R941" s="98">
        <f>J941*L941</f>
        <v>3200000</v>
      </c>
      <c r="S941" s="168"/>
      <c r="T941" s="7"/>
    </row>
    <row r="942" spans="1:20" s="169" customFormat="1" ht="15" customHeight="1">
      <c r="A942" s="23"/>
      <c r="B942" s="23"/>
      <c r="C942" s="23"/>
      <c r="D942" s="22"/>
      <c r="E942" s="104"/>
      <c r="F942" s="104"/>
      <c r="G942" s="39"/>
      <c r="H942" s="39"/>
      <c r="I942" s="35" t="s">
        <v>387</v>
      </c>
      <c r="J942" s="63">
        <v>100000</v>
      </c>
      <c r="K942" s="202" t="s">
        <v>381</v>
      </c>
      <c r="L942" s="127">
        <v>2</v>
      </c>
      <c r="M942" s="202" t="s">
        <v>388</v>
      </c>
      <c r="N942" s="202"/>
      <c r="O942" s="202"/>
      <c r="P942" s="202"/>
      <c r="Q942" s="202" t="s">
        <v>382</v>
      </c>
      <c r="R942" s="98">
        <f t="shared" ref="R942:R946" si="17">J942*L942</f>
        <v>200000</v>
      </c>
      <c r="S942" s="168"/>
      <c r="T942" s="7"/>
    </row>
    <row r="943" spans="1:20" s="169" customFormat="1" ht="15" customHeight="1">
      <c r="A943" s="23"/>
      <c r="B943" s="23"/>
      <c r="C943" s="23"/>
      <c r="D943" s="22"/>
      <c r="E943" s="104"/>
      <c r="F943" s="104"/>
      <c r="G943" s="39"/>
      <c r="H943" s="39"/>
      <c r="I943" s="35" t="s">
        <v>389</v>
      </c>
      <c r="J943" s="63">
        <v>110000</v>
      </c>
      <c r="K943" s="202" t="s">
        <v>381</v>
      </c>
      <c r="L943" s="127">
        <v>2</v>
      </c>
      <c r="M943" s="202" t="s">
        <v>385</v>
      </c>
      <c r="N943" s="202"/>
      <c r="O943" s="202"/>
      <c r="P943" s="202"/>
      <c r="Q943" s="202" t="s">
        <v>382</v>
      </c>
      <c r="R943" s="98">
        <f t="shared" si="17"/>
        <v>220000</v>
      </c>
      <c r="S943" s="168"/>
      <c r="T943" s="7"/>
    </row>
    <row r="944" spans="1:20" s="169" customFormat="1" ht="15" customHeight="1">
      <c r="A944" s="23"/>
      <c r="B944" s="23"/>
      <c r="C944" s="23"/>
      <c r="D944" s="22"/>
      <c r="E944" s="104"/>
      <c r="F944" s="104"/>
      <c r="G944" s="39"/>
      <c r="H944" s="39"/>
      <c r="I944" s="35" t="s">
        <v>861</v>
      </c>
      <c r="J944" s="63">
        <v>50000</v>
      </c>
      <c r="K944" s="202" t="s">
        <v>381</v>
      </c>
      <c r="L944" s="127">
        <v>5</v>
      </c>
      <c r="M944" s="202" t="s">
        <v>385</v>
      </c>
      <c r="N944" s="202"/>
      <c r="O944" s="202"/>
      <c r="P944" s="202"/>
      <c r="Q944" s="202" t="s">
        <v>382</v>
      </c>
      <c r="R944" s="98">
        <f t="shared" si="17"/>
        <v>250000</v>
      </c>
      <c r="S944" s="168"/>
      <c r="T944" s="7"/>
    </row>
    <row r="945" spans="1:20" s="169" customFormat="1" ht="18.75" customHeight="1">
      <c r="A945" s="23"/>
      <c r="B945" s="23"/>
      <c r="C945" s="23"/>
      <c r="D945" s="22"/>
      <c r="E945" s="104"/>
      <c r="F945" s="104"/>
      <c r="G945" s="39"/>
      <c r="H945" s="39"/>
      <c r="I945" s="35" t="s">
        <v>862</v>
      </c>
      <c r="J945" s="63">
        <v>25000</v>
      </c>
      <c r="K945" s="202" t="s">
        <v>381</v>
      </c>
      <c r="L945" s="127">
        <v>1</v>
      </c>
      <c r="M945" s="202" t="s">
        <v>390</v>
      </c>
      <c r="N945" s="202"/>
      <c r="O945" s="202"/>
      <c r="P945" s="202"/>
      <c r="Q945" s="202" t="s">
        <v>382</v>
      </c>
      <c r="R945" s="98">
        <f t="shared" si="17"/>
        <v>25000</v>
      </c>
      <c r="S945" s="168"/>
      <c r="T945" s="7"/>
    </row>
    <row r="946" spans="1:20" s="169" customFormat="1" ht="18.75" customHeight="1">
      <c r="A946" s="23"/>
      <c r="B946" s="23"/>
      <c r="C946" s="23"/>
      <c r="D946" s="22"/>
      <c r="E946" s="104"/>
      <c r="F946" s="104"/>
      <c r="G946" s="39"/>
      <c r="H946" s="39"/>
      <c r="I946" s="35" t="s">
        <v>863</v>
      </c>
      <c r="J946" s="63">
        <v>1000</v>
      </c>
      <c r="K946" s="202" t="s">
        <v>381</v>
      </c>
      <c r="L946" s="127">
        <v>80</v>
      </c>
      <c r="M946" s="202" t="s">
        <v>385</v>
      </c>
      <c r="N946" s="202"/>
      <c r="O946" s="202"/>
      <c r="P946" s="202"/>
      <c r="Q946" s="202" t="s">
        <v>382</v>
      </c>
      <c r="R946" s="98">
        <f t="shared" si="17"/>
        <v>80000</v>
      </c>
      <c r="S946" s="168"/>
      <c r="T946" s="7"/>
    </row>
    <row r="947" spans="1:20" s="169" customFormat="1" ht="17.25" customHeight="1">
      <c r="A947" s="23"/>
      <c r="B947" s="23"/>
      <c r="C947" s="23"/>
      <c r="D947" s="22"/>
      <c r="E947" s="104"/>
      <c r="F947" s="104"/>
      <c r="G947" s="39"/>
      <c r="H947" s="39"/>
      <c r="I947" s="35" t="s">
        <v>391</v>
      </c>
      <c r="J947" s="63">
        <v>60000</v>
      </c>
      <c r="K947" s="202" t="s">
        <v>381</v>
      </c>
      <c r="L947" s="127">
        <v>1</v>
      </c>
      <c r="M947" s="202" t="s">
        <v>292</v>
      </c>
      <c r="N947" s="202"/>
      <c r="O947" s="202"/>
      <c r="P947" s="202"/>
      <c r="Q947" s="202" t="s">
        <v>382</v>
      </c>
      <c r="R947" s="98">
        <f>J947*L947</f>
        <v>60000</v>
      </c>
      <c r="S947" s="168"/>
      <c r="T947" s="7"/>
    </row>
    <row r="948" spans="1:20" s="169" customFormat="1" ht="17.25" customHeight="1">
      <c r="A948" s="23"/>
      <c r="B948" s="23"/>
      <c r="C948" s="23"/>
      <c r="D948" s="19"/>
      <c r="E948" s="104"/>
      <c r="F948" s="104"/>
      <c r="G948" s="210"/>
      <c r="H948" s="210"/>
      <c r="I948" s="18"/>
      <c r="J948" s="17"/>
      <c r="K948" s="221"/>
      <c r="L948" s="221"/>
      <c r="M948" s="221"/>
      <c r="N948" s="221"/>
      <c r="O948" s="221"/>
      <c r="P948" s="221"/>
      <c r="Q948" s="221" t="s">
        <v>23</v>
      </c>
      <c r="R948" s="187">
        <f>SUM(R935,R936,R939,,R940,R947)</f>
        <v>8875000</v>
      </c>
      <c r="S948" s="168">
        <v>0</v>
      </c>
      <c r="T948" s="7">
        <f>R948-S948</f>
        <v>8875000</v>
      </c>
    </row>
    <row r="949" spans="1:20" s="169" customFormat="1" ht="17.25" customHeight="1">
      <c r="A949" s="23"/>
      <c r="B949" s="23"/>
      <c r="C949" s="88"/>
      <c r="D949" s="943" t="s">
        <v>392</v>
      </c>
      <c r="E949" s="925">
        <v>0</v>
      </c>
      <c r="F949" s="925">
        <f>S958/1000</f>
        <v>0</v>
      </c>
      <c r="G949" s="927">
        <f>F949+F951-E949-E951</f>
        <v>-1.0003333333370392</v>
      </c>
      <c r="H949" s="997">
        <f>G949/(E949+E951)</f>
        <v>-2.1588219637374867E-5</v>
      </c>
      <c r="I949" s="28" t="s">
        <v>393</v>
      </c>
      <c r="J949" s="226">
        <v>10300</v>
      </c>
      <c r="K949" s="28" t="s">
        <v>20</v>
      </c>
      <c r="L949" s="83">
        <v>3710</v>
      </c>
      <c r="M949" s="237" t="s">
        <v>394</v>
      </c>
      <c r="N949" s="237"/>
      <c r="O949" s="237"/>
      <c r="P949" s="237"/>
      <c r="Q949" s="237" t="s">
        <v>395</v>
      </c>
      <c r="R949" s="265">
        <f>J949*L949</f>
        <v>38213000</v>
      </c>
      <c r="S949" s="168"/>
      <c r="T949" s="7"/>
    </row>
    <row r="950" spans="1:20" s="169" customFormat="1" ht="17.25" customHeight="1">
      <c r="A950" s="23"/>
      <c r="B950" s="23"/>
      <c r="C950" s="306"/>
      <c r="D950" s="942"/>
      <c r="E950" s="932"/>
      <c r="F950" s="932"/>
      <c r="G950" s="919"/>
      <c r="H950" s="998"/>
      <c r="I950" s="20" t="s">
        <v>396</v>
      </c>
      <c r="J950" s="79">
        <f>R949</f>
        <v>38213000</v>
      </c>
      <c r="K950" s="27" t="s">
        <v>295</v>
      </c>
      <c r="L950" s="127">
        <v>12</v>
      </c>
      <c r="M950" s="202" t="s">
        <v>34</v>
      </c>
      <c r="N950" s="202"/>
      <c r="O950" s="202"/>
      <c r="P950" s="202"/>
      <c r="Q950" s="202" t="s">
        <v>22</v>
      </c>
      <c r="R950" s="68">
        <f>J950/L950</f>
        <v>3184416.6666666665</v>
      </c>
      <c r="S950" s="168"/>
      <c r="T950" s="7"/>
    </row>
    <row r="951" spans="1:20" s="169" customFormat="1" ht="17.25" customHeight="1">
      <c r="A951" s="23"/>
      <c r="B951" s="23"/>
      <c r="C951" s="306"/>
      <c r="D951" s="942"/>
      <c r="E951" s="925">
        <v>46337</v>
      </c>
      <c r="F951" s="925">
        <f>T958/1000</f>
        <v>46335.999666666663</v>
      </c>
      <c r="G951" s="919"/>
      <c r="H951" s="998"/>
      <c r="I951" s="20" t="s">
        <v>397</v>
      </c>
      <c r="J951" s="79">
        <f>R949</f>
        <v>38213000</v>
      </c>
      <c r="K951" s="20" t="s">
        <v>24</v>
      </c>
      <c r="L951" s="401">
        <v>9.9879999999999997E-2</v>
      </c>
      <c r="M951" s="202" t="s">
        <v>24</v>
      </c>
      <c r="N951" s="47">
        <v>1</v>
      </c>
      <c r="O951" s="202"/>
      <c r="P951" s="202"/>
      <c r="Q951" s="202" t="s">
        <v>22</v>
      </c>
      <c r="R951" s="68">
        <v>3816714</v>
      </c>
      <c r="S951" s="168"/>
      <c r="T951" s="7"/>
    </row>
    <row r="952" spans="1:20" s="169" customFormat="1" ht="17.25" customHeight="1">
      <c r="A952" s="23"/>
      <c r="B952" s="23"/>
      <c r="C952" s="306"/>
      <c r="D952" s="942"/>
      <c r="E952" s="926"/>
      <c r="F952" s="926"/>
      <c r="G952" s="919"/>
      <c r="H952" s="998"/>
      <c r="I952" s="20" t="s">
        <v>398</v>
      </c>
      <c r="J952" s="79">
        <v>25000</v>
      </c>
      <c r="K952" s="20" t="s">
        <v>24</v>
      </c>
      <c r="L952" s="127">
        <v>5</v>
      </c>
      <c r="M952" s="202" t="s">
        <v>33</v>
      </c>
      <c r="N952" s="202"/>
      <c r="O952" s="202"/>
      <c r="P952" s="202"/>
      <c r="Q952" s="202" t="s">
        <v>22</v>
      </c>
      <c r="R952" s="68">
        <f>J952*L952</f>
        <v>125000</v>
      </c>
      <c r="S952" s="168"/>
      <c r="T952" s="7"/>
    </row>
    <row r="953" spans="1:20" s="169" customFormat="1" ht="17.25" customHeight="1">
      <c r="A953" s="23"/>
      <c r="B953" s="23"/>
      <c r="C953" s="306"/>
      <c r="D953" s="88"/>
      <c r="E953" s="33"/>
      <c r="F953" s="33"/>
      <c r="G953" s="517"/>
      <c r="H953" s="502"/>
      <c r="I953" s="20" t="s">
        <v>399</v>
      </c>
      <c r="J953" s="79">
        <v>15750</v>
      </c>
      <c r="K953" s="20" t="s">
        <v>24</v>
      </c>
      <c r="L953" s="127">
        <v>5</v>
      </c>
      <c r="M953" s="202" t="s">
        <v>33</v>
      </c>
      <c r="N953" s="202"/>
      <c r="O953" s="202"/>
      <c r="P953" s="202"/>
      <c r="Q953" s="202" t="s">
        <v>22</v>
      </c>
      <c r="R953" s="68">
        <f>J953*L953</f>
        <v>78750</v>
      </c>
      <c r="S953" s="168"/>
      <c r="T953" s="7"/>
    </row>
    <row r="954" spans="1:20" s="169" customFormat="1" ht="17.25" customHeight="1">
      <c r="A954" s="23"/>
      <c r="B954" s="23"/>
      <c r="C954" s="306"/>
      <c r="D954" s="88"/>
      <c r="E954" s="33"/>
      <c r="F954" s="33"/>
      <c r="G954" s="517"/>
      <c r="H954" s="502"/>
      <c r="I954" s="20" t="s">
        <v>400</v>
      </c>
      <c r="J954" s="79">
        <v>8000</v>
      </c>
      <c r="K954" s="20" t="s">
        <v>24</v>
      </c>
      <c r="L954" s="127">
        <v>6</v>
      </c>
      <c r="M954" s="202" t="s">
        <v>33</v>
      </c>
      <c r="N954" s="127">
        <v>12</v>
      </c>
      <c r="O954" s="202" t="s">
        <v>25</v>
      </c>
      <c r="P954" s="202"/>
      <c r="Q954" s="202" t="s">
        <v>22</v>
      </c>
      <c r="R954" s="68">
        <f>J954*L954*N954</f>
        <v>576000</v>
      </c>
      <c r="S954" s="168"/>
      <c r="T954" s="7"/>
    </row>
    <row r="955" spans="1:20" s="169" customFormat="1" ht="17.25" customHeight="1">
      <c r="A955" s="23"/>
      <c r="B955" s="23"/>
      <c r="C955" s="306"/>
      <c r="D955" s="88"/>
      <c r="E955" s="33"/>
      <c r="F955" s="33"/>
      <c r="G955" s="517"/>
      <c r="H955" s="502"/>
      <c r="I955" s="20" t="s">
        <v>401</v>
      </c>
      <c r="J955" s="79">
        <v>15000</v>
      </c>
      <c r="K955" s="20" t="s">
        <v>24</v>
      </c>
      <c r="L955" s="127">
        <v>22</v>
      </c>
      <c r="M955" s="202" t="s">
        <v>33</v>
      </c>
      <c r="N955" s="202" t="s">
        <v>24</v>
      </c>
      <c r="O955" s="127">
        <v>1</v>
      </c>
      <c r="P955" s="202" t="s">
        <v>25</v>
      </c>
      <c r="Q955" s="202" t="s">
        <v>22</v>
      </c>
      <c r="R955" s="68">
        <f>J955*L955*O955</f>
        <v>330000</v>
      </c>
      <c r="S955" s="168"/>
      <c r="T955" s="7"/>
    </row>
    <row r="956" spans="1:20" s="169" customFormat="1" ht="15.75" customHeight="1">
      <c r="A956" s="23"/>
      <c r="B956" s="23"/>
      <c r="C956" s="306"/>
      <c r="D956" s="88"/>
      <c r="E956" s="33"/>
      <c r="F956" s="33"/>
      <c r="G956" s="517"/>
      <c r="H956" s="502"/>
      <c r="I956" s="20" t="s">
        <v>897</v>
      </c>
      <c r="J956" s="79"/>
      <c r="K956" s="20"/>
      <c r="L956" s="202"/>
      <c r="M956" s="202"/>
      <c r="N956" s="202"/>
      <c r="O956" s="202"/>
      <c r="P956" s="202"/>
      <c r="Q956" s="202"/>
      <c r="R956" s="68">
        <v>12119</v>
      </c>
      <c r="S956" s="168"/>
      <c r="T956" s="7"/>
    </row>
    <row r="957" spans="1:20" s="169" customFormat="1" ht="15.75" customHeight="1">
      <c r="A957" s="23"/>
      <c r="B957" s="23"/>
      <c r="C957" s="306"/>
      <c r="D957" s="88"/>
      <c r="E957" s="33"/>
      <c r="F957" s="33"/>
      <c r="G957" s="517"/>
      <c r="H957" s="502"/>
      <c r="I957" s="20"/>
      <c r="J957" s="79"/>
      <c r="K957" s="20"/>
      <c r="L957" s="202"/>
      <c r="M957" s="202"/>
      <c r="N957" s="202"/>
      <c r="O957" s="202"/>
      <c r="P957" s="202"/>
      <c r="Q957" s="202"/>
      <c r="R957" s="68"/>
      <c r="S957" s="168"/>
      <c r="T957" s="7"/>
    </row>
    <row r="958" spans="1:20" s="169" customFormat="1" ht="15" customHeight="1">
      <c r="A958" s="497"/>
      <c r="B958" s="497"/>
      <c r="C958" s="307"/>
      <c r="D958" s="230"/>
      <c r="E958" s="140"/>
      <c r="F958" s="140"/>
      <c r="G958" s="519"/>
      <c r="H958" s="520"/>
      <c r="I958" s="18"/>
      <c r="J958" s="17"/>
      <c r="K958" s="18"/>
      <c r="L958" s="221"/>
      <c r="M958" s="221"/>
      <c r="N958" s="221"/>
      <c r="O958" s="221"/>
      <c r="P958" s="221"/>
      <c r="Q958" s="221" t="s">
        <v>23</v>
      </c>
      <c r="R958" s="170">
        <f>SUM(R949:R957)</f>
        <v>46335999.666666664</v>
      </c>
      <c r="S958" s="168">
        <v>0</v>
      </c>
      <c r="T958" s="7">
        <f>R958-S958</f>
        <v>46335999.666666664</v>
      </c>
    </row>
    <row r="959" spans="1:20" s="169" customFormat="1" ht="15.75" customHeight="1">
      <c r="A959" s="23"/>
      <c r="B959" s="23"/>
      <c r="C959" s="88"/>
      <c r="D959" s="942" t="s">
        <v>402</v>
      </c>
      <c r="E959" s="926">
        <v>0</v>
      </c>
      <c r="F959" s="926">
        <f>S964/1000</f>
        <v>0</v>
      </c>
      <c r="G959" s="919">
        <f>F959+F961-E959-E961</f>
        <v>-6757</v>
      </c>
      <c r="H959" s="996">
        <f>G959/(E959+E961)</f>
        <v>-1</v>
      </c>
      <c r="I959" s="20"/>
      <c r="J959" s="1014"/>
      <c r="K959" s="1014"/>
      <c r="L959" s="1014"/>
      <c r="M959" s="1014"/>
      <c r="N959" s="1014"/>
      <c r="O959" s="1014"/>
      <c r="P959" s="1014"/>
      <c r="Q959" s="202"/>
      <c r="R959" s="68"/>
      <c r="S959" s="168"/>
      <c r="T959" s="7"/>
    </row>
    <row r="960" spans="1:20" s="169" customFormat="1" ht="15.75" customHeight="1">
      <c r="A960" s="23"/>
      <c r="B960" s="23"/>
      <c r="C960" s="306"/>
      <c r="D960" s="942"/>
      <c r="E960" s="932"/>
      <c r="F960" s="932"/>
      <c r="G960" s="919"/>
      <c r="H960" s="996"/>
      <c r="I960" s="20"/>
      <c r="J960" s="947"/>
      <c r="K960" s="947"/>
      <c r="L960" s="947"/>
      <c r="M960" s="947"/>
      <c r="N960" s="947"/>
      <c r="O960" s="947"/>
      <c r="P960" s="947"/>
      <c r="Q960" s="202"/>
      <c r="R960" s="68"/>
      <c r="S960" s="168"/>
      <c r="T960" s="7"/>
    </row>
    <row r="961" spans="1:20" s="169" customFormat="1" ht="15.75" customHeight="1">
      <c r="A961" s="23"/>
      <c r="B961" s="23"/>
      <c r="C961" s="306"/>
      <c r="D961" s="942"/>
      <c r="E961" s="925">
        <v>6757</v>
      </c>
      <c r="F961" s="925">
        <f>T964/1000</f>
        <v>0</v>
      </c>
      <c r="G961" s="919"/>
      <c r="H961" s="996"/>
      <c r="I961" s="20"/>
      <c r="J961" s="947"/>
      <c r="K961" s="947"/>
      <c r="L961" s="947"/>
      <c r="M961" s="947"/>
      <c r="N961" s="947"/>
      <c r="O961" s="947"/>
      <c r="P961" s="947"/>
      <c r="Q961" s="202"/>
      <c r="R961" s="68"/>
      <c r="S961" s="168"/>
      <c r="T961" s="7"/>
    </row>
    <row r="962" spans="1:20" s="169" customFormat="1" ht="15.75" customHeight="1">
      <c r="A962" s="23"/>
      <c r="B962" s="23"/>
      <c r="C962" s="306"/>
      <c r="D962" s="942"/>
      <c r="E962" s="926"/>
      <c r="F962" s="926"/>
      <c r="G962" s="919"/>
      <c r="H962" s="996"/>
      <c r="I962" s="20"/>
      <c r="J962" s="79"/>
      <c r="K962" s="20"/>
      <c r="L962" s="202"/>
      <c r="M962" s="202"/>
      <c r="N962" s="202"/>
      <c r="O962" s="202"/>
      <c r="P962" s="202"/>
      <c r="Q962" s="202"/>
      <c r="R962" s="68"/>
      <c r="S962" s="168"/>
      <c r="T962" s="7"/>
    </row>
    <row r="963" spans="1:20" s="169" customFormat="1" ht="15.75" customHeight="1">
      <c r="A963" s="23"/>
      <c r="B963" s="23"/>
      <c r="C963" s="306"/>
      <c r="D963" s="942"/>
      <c r="E963" s="926"/>
      <c r="F963" s="926"/>
      <c r="G963" s="919"/>
      <c r="H963" s="996"/>
      <c r="I963" s="20"/>
      <c r="J963" s="79"/>
      <c r="K963" s="20"/>
      <c r="L963" s="202"/>
      <c r="M963" s="202"/>
      <c r="N963" s="202"/>
      <c r="O963" s="202"/>
      <c r="P963" s="202"/>
      <c r="Q963" s="202"/>
      <c r="R963" s="68"/>
      <c r="S963" s="168"/>
      <c r="T963" s="7"/>
    </row>
    <row r="964" spans="1:20" s="169" customFormat="1" ht="15.75" customHeight="1">
      <c r="A964" s="23"/>
      <c r="B964" s="23"/>
      <c r="C964" s="306"/>
      <c r="D964" s="994"/>
      <c r="E964" s="510"/>
      <c r="F964" s="510"/>
      <c r="G964" s="519"/>
      <c r="H964" s="520"/>
      <c r="I964" s="18"/>
      <c r="J964" s="160"/>
      <c r="K964" s="18"/>
      <c r="L964" s="221"/>
      <c r="M964" s="221"/>
      <c r="N964" s="221"/>
      <c r="O964" s="221"/>
      <c r="P964" s="221"/>
      <c r="Q964" s="221" t="s">
        <v>23</v>
      </c>
      <c r="R964" s="170">
        <f>SUM(R959,R960,R961,R962)</f>
        <v>0</v>
      </c>
      <c r="S964" s="168">
        <v>0</v>
      </c>
      <c r="T964" s="7">
        <f>R964-S964</f>
        <v>0</v>
      </c>
    </row>
    <row r="965" spans="1:20" s="169" customFormat="1" ht="15.75" hidden="1" customHeight="1">
      <c r="A965" s="23"/>
      <c r="B965" s="23"/>
      <c r="C965" s="88"/>
      <c r="D965" s="948" t="s">
        <v>827</v>
      </c>
      <c r="E965" s="925">
        <v>0</v>
      </c>
      <c r="F965" s="925">
        <v>0</v>
      </c>
      <c r="G965" s="927">
        <f>F965+F967-E965-E967</f>
        <v>0</v>
      </c>
      <c r="H965" s="995" t="e">
        <f>G965/(E965+E967)</f>
        <v>#DIV/0!</v>
      </c>
      <c r="I965" s="218" t="s">
        <v>319</v>
      </c>
      <c r="J965" s="590">
        <v>62112</v>
      </c>
      <c r="K965" s="589" t="s">
        <v>381</v>
      </c>
      <c r="L965" s="589">
        <v>25</v>
      </c>
      <c r="M965" s="589" t="s">
        <v>743</v>
      </c>
      <c r="N965" s="589"/>
      <c r="O965" s="589"/>
      <c r="P965" s="589"/>
      <c r="Q965" s="589" t="s">
        <v>744</v>
      </c>
      <c r="R965" s="281"/>
      <c r="S965" s="168"/>
      <c r="T965" s="7"/>
    </row>
    <row r="966" spans="1:20" s="169" customFormat="1" ht="15.75" hidden="1" customHeight="1">
      <c r="A966" s="23"/>
      <c r="B966" s="23"/>
      <c r="C966" s="306"/>
      <c r="D966" s="949"/>
      <c r="E966" s="932"/>
      <c r="F966" s="932"/>
      <c r="G966" s="919"/>
      <c r="H966" s="996"/>
      <c r="I966" s="218" t="s">
        <v>745</v>
      </c>
      <c r="J966" s="590">
        <v>137222</v>
      </c>
      <c r="K966" s="589" t="s">
        <v>20</v>
      </c>
      <c r="L966" s="589">
        <v>45</v>
      </c>
      <c r="M966" s="589" t="s">
        <v>242</v>
      </c>
      <c r="N966" s="589"/>
      <c r="O966" s="589"/>
      <c r="P966" s="589"/>
      <c r="Q966" s="589" t="s">
        <v>22</v>
      </c>
      <c r="R966" s="281"/>
      <c r="S966" s="168"/>
      <c r="T966" s="7"/>
    </row>
    <row r="967" spans="1:20" s="169" customFormat="1" ht="15.75" hidden="1" customHeight="1">
      <c r="A967" s="23"/>
      <c r="B967" s="23"/>
      <c r="C967" s="306"/>
      <c r="D967" s="949"/>
      <c r="E967" s="925">
        <v>0</v>
      </c>
      <c r="F967" s="1015">
        <f>T974/1000</f>
        <v>0</v>
      </c>
      <c r="G967" s="919"/>
      <c r="H967" s="996"/>
      <c r="I967" s="218" t="s">
        <v>314</v>
      </c>
      <c r="J967" s="590">
        <v>1501560</v>
      </c>
      <c r="K967" s="589" t="s">
        <v>20</v>
      </c>
      <c r="L967" s="589">
        <v>1</v>
      </c>
      <c r="M967" s="589" t="s">
        <v>242</v>
      </c>
      <c r="N967" s="589"/>
      <c r="O967" s="589"/>
      <c r="P967" s="589"/>
      <c r="Q967" s="589" t="s">
        <v>22</v>
      </c>
      <c r="R967" s="281"/>
      <c r="S967" s="168"/>
      <c r="T967" s="7"/>
    </row>
    <row r="968" spans="1:20" s="169" customFormat="1" ht="15.75" hidden="1" customHeight="1">
      <c r="A968" s="23"/>
      <c r="B968" s="23"/>
      <c r="C968" s="306"/>
      <c r="D968" s="949"/>
      <c r="E968" s="926"/>
      <c r="F968" s="926"/>
      <c r="G968" s="919"/>
      <c r="H968" s="996"/>
      <c r="I968" s="218" t="s">
        <v>746</v>
      </c>
      <c r="J968" s="590">
        <v>3500</v>
      </c>
      <c r="K968" s="589" t="s">
        <v>20</v>
      </c>
      <c r="L968" s="589">
        <v>70</v>
      </c>
      <c r="M968" s="589" t="s">
        <v>180</v>
      </c>
      <c r="N968" s="589"/>
      <c r="O968" s="589"/>
      <c r="P968" s="589"/>
      <c r="Q968" s="589" t="s">
        <v>22</v>
      </c>
      <c r="R968" s="281"/>
      <c r="S968" s="168"/>
      <c r="T968" s="7"/>
    </row>
    <row r="969" spans="1:20" s="169" customFormat="1" ht="15.75" hidden="1" customHeight="1">
      <c r="A969" s="23"/>
      <c r="B969" s="23"/>
      <c r="C969" s="306"/>
      <c r="D969" s="949"/>
      <c r="E969" s="926"/>
      <c r="F969" s="926"/>
      <c r="G969" s="919"/>
      <c r="H969" s="996"/>
      <c r="I969" s="248" t="s">
        <v>747</v>
      </c>
      <c r="J969" s="590">
        <v>11000</v>
      </c>
      <c r="K969" s="589" t="s">
        <v>20</v>
      </c>
      <c r="L969" s="589">
        <v>5</v>
      </c>
      <c r="M969" s="589" t="s">
        <v>21</v>
      </c>
      <c r="N969" s="589"/>
      <c r="O969" s="589"/>
      <c r="P969" s="589"/>
      <c r="Q969" s="589"/>
      <c r="R969" s="281"/>
      <c r="S969" s="168"/>
      <c r="T969" s="7"/>
    </row>
    <row r="970" spans="1:20" s="169" customFormat="1" ht="15.75" hidden="1" customHeight="1">
      <c r="A970" s="23"/>
      <c r="B970" s="23"/>
      <c r="C970" s="306"/>
      <c r="D970" s="949"/>
      <c r="E970" s="926"/>
      <c r="F970" s="926"/>
      <c r="G970" s="919"/>
      <c r="H970" s="996"/>
      <c r="I970" s="248" t="s">
        <v>748</v>
      </c>
      <c r="J970" s="589"/>
      <c r="K970" s="589"/>
      <c r="L970" s="589"/>
      <c r="M970" s="589"/>
      <c r="N970" s="589"/>
      <c r="O970" s="589"/>
      <c r="P970" s="589"/>
      <c r="Q970" s="589"/>
      <c r="R970" s="282"/>
      <c r="S970" s="168"/>
      <c r="T970" s="7"/>
    </row>
    <row r="971" spans="1:20" s="169" customFormat="1" ht="15.75" hidden="1" customHeight="1">
      <c r="A971" s="23"/>
      <c r="B971" s="23"/>
      <c r="C971" s="306"/>
      <c r="D971" s="949"/>
      <c r="E971" s="926"/>
      <c r="F971" s="926"/>
      <c r="G971" s="919"/>
      <c r="H971" s="996"/>
      <c r="I971" s="20"/>
      <c r="J971" s="79"/>
      <c r="K971" s="79"/>
      <c r="L971" s="163"/>
      <c r="M971" s="202"/>
      <c r="N971" s="202"/>
      <c r="O971" s="202"/>
      <c r="P971" s="202"/>
      <c r="Q971" s="202"/>
      <c r="R971" s="68"/>
      <c r="S971" s="168"/>
      <c r="T971" s="7"/>
    </row>
    <row r="972" spans="1:20" s="169" customFormat="1" ht="15.75" hidden="1" customHeight="1">
      <c r="A972" s="23"/>
      <c r="B972" s="23"/>
      <c r="C972" s="306"/>
      <c r="D972" s="949"/>
      <c r="E972" s="926"/>
      <c r="F972" s="926"/>
      <c r="G972" s="919"/>
      <c r="H972" s="996"/>
      <c r="I972" s="20"/>
      <c r="J972" s="79"/>
      <c r="K972" s="79"/>
      <c r="L972" s="163"/>
      <c r="M972" s="202"/>
      <c r="N972" s="202"/>
      <c r="O972" s="202"/>
      <c r="P972" s="202"/>
      <c r="Q972" s="202"/>
      <c r="R972" s="68"/>
      <c r="S972" s="168"/>
      <c r="T972" s="7"/>
    </row>
    <row r="973" spans="1:20" s="169" customFormat="1" ht="15.75" hidden="1" customHeight="1">
      <c r="A973" s="23"/>
      <c r="B973" s="23"/>
      <c r="C973" s="306"/>
      <c r="D973" s="949"/>
      <c r="E973" s="926"/>
      <c r="F973" s="926"/>
      <c r="G973" s="919"/>
      <c r="H973" s="996"/>
      <c r="I973" s="20"/>
      <c r="J973" s="79"/>
      <c r="K973" s="20"/>
      <c r="L973" s="202"/>
      <c r="M973" s="202"/>
      <c r="N973" s="202"/>
      <c r="O973" s="202"/>
      <c r="P973" s="202"/>
      <c r="Q973" s="202"/>
      <c r="R973" s="68"/>
      <c r="S973" s="168"/>
      <c r="T973" s="7"/>
    </row>
    <row r="974" spans="1:20" s="169" customFormat="1" ht="15.75" hidden="1" customHeight="1">
      <c r="A974" s="23"/>
      <c r="B974" s="23"/>
      <c r="C974" s="306"/>
      <c r="D974" s="950"/>
      <c r="E974" s="510"/>
      <c r="F974" s="510"/>
      <c r="G974" s="519"/>
      <c r="H974" s="520"/>
      <c r="I974" s="18"/>
      <c r="J974" s="160"/>
      <c r="K974" s="18"/>
      <c r="L974" s="221"/>
      <c r="M974" s="221"/>
      <c r="N974" s="221"/>
      <c r="O974" s="221"/>
      <c r="P974" s="221"/>
      <c r="Q974" s="221" t="s">
        <v>23</v>
      </c>
      <c r="R974" s="170">
        <f>SUM(R965:R973)</f>
        <v>0</v>
      </c>
      <c r="S974" s="168">
        <v>0</v>
      </c>
      <c r="T974" s="7">
        <f>R974-S974</f>
        <v>0</v>
      </c>
    </row>
    <row r="975" spans="1:20" s="169" customFormat="1" ht="15.75" customHeight="1">
      <c r="A975" s="23"/>
      <c r="B975" s="23"/>
      <c r="C975" s="88"/>
      <c r="D975" s="948" t="s">
        <v>1080</v>
      </c>
      <c r="E975" s="925">
        <v>0</v>
      </c>
      <c r="F975" s="925">
        <f>S978/1000</f>
        <v>0</v>
      </c>
      <c r="G975" s="927">
        <f>F975+F977-E975-E977</f>
        <v>4000</v>
      </c>
      <c r="H975" s="997" t="e">
        <f>G975/(E975+E977)</f>
        <v>#DIV/0!</v>
      </c>
      <c r="I975" s="28"/>
      <c r="J975" s="226"/>
      <c r="K975" s="28"/>
      <c r="L975" s="237"/>
      <c r="M975" s="237"/>
      <c r="N975" s="237"/>
      <c r="O975" s="237"/>
      <c r="P975" s="237"/>
      <c r="Q975" s="237"/>
      <c r="R975" s="265">
        <v>4000000</v>
      </c>
      <c r="S975" s="168"/>
      <c r="T975" s="7"/>
    </row>
    <row r="976" spans="1:20" s="169" customFormat="1" ht="15.75" customHeight="1">
      <c r="A976" s="23"/>
      <c r="B976" s="23"/>
      <c r="C976" s="306"/>
      <c r="D976" s="949"/>
      <c r="E976" s="932"/>
      <c r="F976" s="932"/>
      <c r="G976" s="919"/>
      <c r="H976" s="998"/>
      <c r="I976" s="20"/>
      <c r="J976" s="79"/>
      <c r="K976" s="20"/>
      <c r="L976" s="202"/>
      <c r="M976" s="202"/>
      <c r="N976" s="202"/>
      <c r="O976" s="202"/>
      <c r="P976" s="202"/>
      <c r="Q976" s="202"/>
      <c r="R976" s="68"/>
      <c r="S976" s="168"/>
      <c r="T976" s="7"/>
    </row>
    <row r="977" spans="1:20" s="169" customFormat="1" ht="15.75" customHeight="1">
      <c r="A977" s="23"/>
      <c r="B977" s="23"/>
      <c r="C977" s="306"/>
      <c r="D977" s="949"/>
      <c r="E977" s="925">
        <v>0</v>
      </c>
      <c r="F977" s="925">
        <f>T978/1000</f>
        <v>4000</v>
      </c>
      <c r="G977" s="919"/>
      <c r="H977" s="998"/>
      <c r="I977" s="20"/>
      <c r="J977" s="79"/>
      <c r="K977" s="20"/>
      <c r="L977" s="202"/>
      <c r="M977" s="202"/>
      <c r="N977" s="202"/>
      <c r="O977" s="202"/>
      <c r="P977" s="202"/>
      <c r="Q977" s="202"/>
      <c r="R977" s="68"/>
      <c r="S977" s="168"/>
      <c r="T977" s="7"/>
    </row>
    <row r="978" spans="1:20" s="169" customFormat="1" ht="15.75" customHeight="1">
      <c r="A978" s="23"/>
      <c r="B978" s="23"/>
      <c r="C978" s="306"/>
      <c r="D978" s="950"/>
      <c r="E978" s="932"/>
      <c r="F978" s="932"/>
      <c r="G978" s="920"/>
      <c r="H978" s="1013"/>
      <c r="I978" s="18"/>
      <c r="J978" s="160"/>
      <c r="K978" s="18"/>
      <c r="L978" s="221"/>
      <c r="M978" s="221"/>
      <c r="N978" s="221"/>
      <c r="O978" s="221"/>
      <c r="P978" s="221"/>
      <c r="Q978" s="221" t="s">
        <v>23</v>
      </c>
      <c r="R978" s="170">
        <f>SUM(R975:R977)</f>
        <v>4000000</v>
      </c>
      <c r="S978" s="168">
        <v>0</v>
      </c>
      <c r="T978" s="7">
        <f>R978-S978</f>
        <v>4000000</v>
      </c>
    </row>
    <row r="979" spans="1:20" s="169" customFormat="1" ht="15.75" customHeight="1">
      <c r="A979" s="23"/>
      <c r="B979" s="23"/>
      <c r="C979" s="88"/>
      <c r="D979" s="1016" t="s">
        <v>1017</v>
      </c>
      <c r="E979" s="1006">
        <v>0</v>
      </c>
      <c r="F979" s="1006">
        <f>S982/1000</f>
        <v>0</v>
      </c>
      <c r="G979" s="927">
        <f>F979+F981-E979-E981</f>
        <v>-240</v>
      </c>
      <c r="H979" s="997">
        <f>G979/(E979+E981)</f>
        <v>-1</v>
      </c>
      <c r="I979" s="28"/>
      <c r="J979" s="226"/>
      <c r="K979" s="28"/>
      <c r="L979" s="237"/>
      <c r="M979" s="237"/>
      <c r="N979" s="237"/>
      <c r="O979" s="237"/>
      <c r="P979" s="237"/>
      <c r="Q979" s="237"/>
      <c r="R979" s="265"/>
      <c r="S979" s="168"/>
      <c r="T979" s="7"/>
    </row>
    <row r="980" spans="1:20" s="169" customFormat="1" ht="15.75" customHeight="1">
      <c r="A980" s="23"/>
      <c r="B980" s="23"/>
      <c r="C980" s="306"/>
      <c r="D980" s="1017"/>
      <c r="E980" s="1019"/>
      <c r="F980" s="1019"/>
      <c r="G980" s="919"/>
      <c r="H980" s="998"/>
      <c r="I980" s="20"/>
      <c r="J980" s="79"/>
      <c r="K980" s="20"/>
      <c r="L980" s="202"/>
      <c r="M980" s="202"/>
      <c r="N980" s="202"/>
      <c r="O980" s="202"/>
      <c r="P980" s="202"/>
      <c r="Q980" s="202"/>
      <c r="R980" s="68"/>
      <c r="S980" s="168"/>
      <c r="T980" s="7"/>
    </row>
    <row r="981" spans="1:20" s="169" customFormat="1" ht="15.75" customHeight="1">
      <c r="A981" s="23"/>
      <c r="B981" s="23"/>
      <c r="C981" s="306"/>
      <c r="D981" s="1017"/>
      <c r="E981" s="1006">
        <v>240</v>
      </c>
      <c r="F981" s="1006">
        <f>T982/1000</f>
        <v>0</v>
      </c>
      <c r="G981" s="919"/>
      <c r="H981" s="998"/>
      <c r="I981" s="20"/>
      <c r="J981" s="79"/>
      <c r="K981" s="20"/>
      <c r="L981" s="202"/>
      <c r="M981" s="202"/>
      <c r="N981" s="202"/>
      <c r="O981" s="202"/>
      <c r="P981" s="202"/>
      <c r="Q981" s="202"/>
      <c r="R981" s="68"/>
      <c r="S981" s="168"/>
      <c r="T981" s="7"/>
    </row>
    <row r="982" spans="1:20" s="169" customFormat="1" ht="15.75" customHeight="1">
      <c r="A982" s="23"/>
      <c r="B982" s="23"/>
      <c r="C982" s="306"/>
      <c r="D982" s="1018"/>
      <c r="E982" s="1019"/>
      <c r="F982" s="1019"/>
      <c r="G982" s="920"/>
      <c r="H982" s="1013"/>
      <c r="I982" s="18"/>
      <c r="J982" s="160"/>
      <c r="K982" s="18"/>
      <c r="L982" s="221"/>
      <c r="M982" s="221"/>
      <c r="N982" s="221"/>
      <c r="O982" s="221"/>
      <c r="P982" s="221"/>
      <c r="Q982" s="221" t="s">
        <v>23</v>
      </c>
      <c r="R982" s="170">
        <f>SUM(R979:R981)</f>
        <v>0</v>
      </c>
      <c r="S982" s="168">
        <v>0</v>
      </c>
      <c r="T982" s="7">
        <f>R982-S982</f>
        <v>0</v>
      </c>
    </row>
    <row r="983" spans="1:20" s="169" customFormat="1" ht="15.75" customHeight="1">
      <c r="A983" s="23"/>
      <c r="B983" s="23"/>
      <c r="C983" s="88"/>
      <c r="D983" s="948" t="s">
        <v>1018</v>
      </c>
      <c r="E983" s="925">
        <v>0</v>
      </c>
      <c r="F983" s="925">
        <f>S986/1000</f>
        <v>0</v>
      </c>
      <c r="G983" s="927">
        <f>F983+F985-E983-E985</f>
        <v>-38225</v>
      </c>
      <c r="H983" s="997">
        <f>G983/(E983+E985)</f>
        <v>-1</v>
      </c>
      <c r="I983" s="28"/>
      <c r="J983" s="226"/>
      <c r="K983" s="28"/>
      <c r="L983" s="237"/>
      <c r="M983" s="237"/>
      <c r="N983" s="237"/>
      <c r="O983" s="237"/>
      <c r="P983" s="237"/>
      <c r="Q983" s="237"/>
      <c r="R983" s="265">
        <v>0</v>
      </c>
      <c r="S983" s="168"/>
      <c r="T983" s="7"/>
    </row>
    <row r="984" spans="1:20" s="169" customFormat="1" ht="15.75" customHeight="1">
      <c r="A984" s="23"/>
      <c r="B984" s="23"/>
      <c r="C984" s="306"/>
      <c r="D984" s="949"/>
      <c r="E984" s="932"/>
      <c r="F984" s="932"/>
      <c r="G984" s="919"/>
      <c r="H984" s="998"/>
      <c r="I984" s="20"/>
      <c r="J984" s="79"/>
      <c r="K984" s="20"/>
      <c r="L984" s="202"/>
      <c r="M984" s="202"/>
      <c r="N984" s="202"/>
      <c r="O984" s="202"/>
      <c r="P984" s="202"/>
      <c r="Q984" s="202"/>
      <c r="R984" s="68"/>
      <c r="S984" s="168"/>
      <c r="T984" s="7"/>
    </row>
    <row r="985" spans="1:20" s="169" customFormat="1" ht="15.75" customHeight="1">
      <c r="A985" s="23"/>
      <c r="B985" s="23"/>
      <c r="C985" s="306"/>
      <c r="D985" s="949"/>
      <c r="E985" s="925">
        <v>38225</v>
      </c>
      <c r="F985" s="925">
        <f>T986/1000</f>
        <v>0</v>
      </c>
      <c r="G985" s="919"/>
      <c r="H985" s="998"/>
      <c r="I985" s="20"/>
      <c r="J985" s="79"/>
      <c r="K985" s="20"/>
      <c r="L985" s="202"/>
      <c r="M985" s="202"/>
      <c r="N985" s="202"/>
      <c r="O985" s="202"/>
      <c r="P985" s="202"/>
      <c r="Q985" s="202"/>
      <c r="R985" s="68"/>
      <c r="S985" s="168"/>
      <c r="T985" s="7"/>
    </row>
    <row r="986" spans="1:20" s="169" customFormat="1" ht="17.25" customHeight="1">
      <c r="A986" s="23"/>
      <c r="B986" s="23"/>
      <c r="C986" s="306"/>
      <c r="D986" s="950"/>
      <c r="E986" s="932"/>
      <c r="F986" s="932"/>
      <c r="G986" s="920"/>
      <c r="H986" s="1013"/>
      <c r="I986" s="18"/>
      <c r="J986" s="160"/>
      <c r="K986" s="18"/>
      <c r="L986" s="221"/>
      <c r="M986" s="221"/>
      <c r="N986" s="221"/>
      <c r="O986" s="221"/>
      <c r="P986" s="221"/>
      <c r="Q986" s="221" t="s">
        <v>23</v>
      </c>
      <c r="R986" s="170">
        <f>SUM(R983:R985)</f>
        <v>0</v>
      </c>
      <c r="S986" s="168">
        <f>SUM(R983)</f>
        <v>0</v>
      </c>
      <c r="T986" s="7">
        <f>R986-S986</f>
        <v>0</v>
      </c>
    </row>
    <row r="987" spans="1:20" s="169" customFormat="1" ht="15.75" customHeight="1">
      <c r="A987" s="23"/>
      <c r="B987" s="23"/>
      <c r="C987" s="88"/>
      <c r="D987" s="943" t="s">
        <v>405</v>
      </c>
      <c r="E987" s="1006">
        <v>11926</v>
      </c>
      <c r="F987" s="1006">
        <f>S990/1000</f>
        <v>13000</v>
      </c>
      <c r="G987" s="927">
        <f>F987+F989-E987-E989</f>
        <v>1074</v>
      </c>
      <c r="H987" s="997">
        <f>G987/(E987+E989)</f>
        <v>9.0055341271172235E-2</v>
      </c>
      <c r="I987" s="28" t="s">
        <v>406</v>
      </c>
      <c r="J987" s="226"/>
      <c r="K987" s="28"/>
      <c r="L987" s="237"/>
      <c r="M987" s="237"/>
      <c r="N987" s="237"/>
      <c r="O987" s="237"/>
      <c r="P987" s="237"/>
      <c r="Q987" s="237"/>
      <c r="R987" s="265">
        <v>13000000</v>
      </c>
      <c r="S987" s="168"/>
      <c r="T987" s="7"/>
    </row>
    <row r="988" spans="1:20" s="169" customFormat="1" ht="15.75" customHeight="1">
      <c r="A988" s="23"/>
      <c r="B988" s="23"/>
      <c r="C988" s="306"/>
      <c r="D988" s="942"/>
      <c r="E988" s="1019"/>
      <c r="F988" s="1019"/>
      <c r="G988" s="919"/>
      <c r="H988" s="998"/>
      <c r="I988" s="20"/>
      <c r="J988" s="79"/>
      <c r="K988" s="20"/>
      <c r="L988" s="202"/>
      <c r="M988" s="202"/>
      <c r="N988" s="202"/>
      <c r="O988" s="202"/>
      <c r="P988" s="202"/>
      <c r="Q988" s="202"/>
      <c r="R988" s="68"/>
      <c r="S988" s="168"/>
      <c r="T988" s="7"/>
    </row>
    <row r="989" spans="1:20" s="169" customFormat="1" ht="15.75" customHeight="1">
      <c r="A989" s="23"/>
      <c r="B989" s="23"/>
      <c r="C989" s="306"/>
      <c r="D989" s="942"/>
      <c r="E989" s="1006">
        <v>0</v>
      </c>
      <c r="F989" s="1006">
        <f>T990/1000</f>
        <v>0</v>
      </c>
      <c r="G989" s="919"/>
      <c r="H989" s="998"/>
      <c r="I989" s="20"/>
      <c r="J989" s="79"/>
      <c r="K989" s="20"/>
      <c r="L989" s="202"/>
      <c r="M989" s="202"/>
      <c r="N989" s="202"/>
      <c r="O989" s="202"/>
      <c r="P989" s="202"/>
      <c r="Q989" s="202"/>
      <c r="R989" s="68"/>
      <c r="S989" s="168"/>
      <c r="T989" s="7"/>
    </row>
    <row r="990" spans="1:20" s="169" customFormat="1" ht="15.75" customHeight="1">
      <c r="A990" s="23"/>
      <c r="B990" s="23"/>
      <c r="C990" s="306"/>
      <c r="D990" s="994"/>
      <c r="E990" s="1019"/>
      <c r="F990" s="1019"/>
      <c r="G990" s="920"/>
      <c r="H990" s="1013"/>
      <c r="I990" s="18"/>
      <c r="J990" s="160"/>
      <c r="K990" s="18"/>
      <c r="L990" s="221"/>
      <c r="M990" s="221"/>
      <c r="N990" s="221"/>
      <c r="O990" s="221"/>
      <c r="P990" s="221"/>
      <c r="Q990" s="221" t="s">
        <v>23</v>
      </c>
      <c r="R990" s="170">
        <f>SUM(R987:R989)</f>
        <v>13000000</v>
      </c>
      <c r="S990" s="168">
        <f>SUM(R987)</f>
        <v>13000000</v>
      </c>
      <c r="T990" s="7">
        <f>R990-S990</f>
        <v>0</v>
      </c>
    </row>
    <row r="991" spans="1:20" s="169" customFormat="1" ht="15.75" hidden="1" customHeight="1">
      <c r="A991" s="23"/>
      <c r="B991" s="23"/>
      <c r="C991" s="88"/>
      <c r="D991" s="948" t="s">
        <v>407</v>
      </c>
      <c r="E991" s="925">
        <v>0</v>
      </c>
      <c r="F991" s="925">
        <f>S994/1000</f>
        <v>0</v>
      </c>
      <c r="G991" s="927">
        <f>F991+F993-E991-E993</f>
        <v>0</v>
      </c>
      <c r="H991" s="997" t="e">
        <f>G991/(E991+E993)</f>
        <v>#DIV/0!</v>
      </c>
      <c r="I991" s="28"/>
      <c r="J991" s="226"/>
      <c r="K991" s="28"/>
      <c r="L991" s="237"/>
      <c r="M991" s="237"/>
      <c r="N991" s="237"/>
      <c r="O991" s="237"/>
      <c r="P991" s="237"/>
      <c r="Q991" s="237"/>
      <c r="R991" s="265">
        <v>0</v>
      </c>
      <c r="S991" s="168"/>
      <c r="T991" s="7"/>
    </row>
    <row r="992" spans="1:20" s="169" customFormat="1" ht="15.75" hidden="1" customHeight="1">
      <c r="A992" s="23"/>
      <c r="B992" s="23"/>
      <c r="C992" s="306"/>
      <c r="D992" s="949"/>
      <c r="E992" s="932"/>
      <c r="F992" s="932"/>
      <c r="G992" s="919"/>
      <c r="H992" s="998"/>
      <c r="I992" s="20"/>
      <c r="J992" s="79"/>
      <c r="K992" s="20"/>
      <c r="L992" s="202"/>
      <c r="M992" s="202"/>
      <c r="N992" s="202"/>
      <c r="O992" s="202"/>
      <c r="P992" s="202"/>
      <c r="Q992" s="202"/>
      <c r="R992" s="68"/>
      <c r="S992" s="168"/>
      <c r="T992" s="7"/>
    </row>
    <row r="993" spans="1:20" s="169" customFormat="1" ht="15.75" hidden="1" customHeight="1">
      <c r="A993" s="23"/>
      <c r="B993" s="23"/>
      <c r="C993" s="306"/>
      <c r="D993" s="949"/>
      <c r="E993" s="925">
        <v>0</v>
      </c>
      <c r="F993" s="925">
        <f>T994/1000</f>
        <v>0</v>
      </c>
      <c r="G993" s="919"/>
      <c r="H993" s="998"/>
      <c r="I993" s="20"/>
      <c r="J993" s="79"/>
      <c r="K993" s="20"/>
      <c r="L993" s="202"/>
      <c r="M993" s="202"/>
      <c r="N993" s="202"/>
      <c r="O993" s="202"/>
      <c r="P993" s="202"/>
      <c r="Q993" s="202"/>
      <c r="R993" s="68"/>
      <c r="S993" s="168"/>
      <c r="T993" s="7"/>
    </row>
    <row r="994" spans="1:20" s="169" customFormat="1" ht="15.75" hidden="1" customHeight="1">
      <c r="A994" s="23"/>
      <c r="B994" s="23"/>
      <c r="C994" s="306" t="s">
        <v>404</v>
      </c>
      <c r="D994" s="950"/>
      <c r="E994" s="932"/>
      <c r="F994" s="932"/>
      <c r="G994" s="920"/>
      <c r="H994" s="1013"/>
      <c r="I994" s="18"/>
      <c r="J994" s="160"/>
      <c r="K994" s="18"/>
      <c r="L994" s="221"/>
      <c r="M994" s="221"/>
      <c r="N994" s="221"/>
      <c r="O994" s="221"/>
      <c r="P994" s="221"/>
      <c r="Q994" s="221" t="s">
        <v>23</v>
      </c>
      <c r="R994" s="170">
        <f>SUM(R991:R993)</f>
        <v>0</v>
      </c>
      <c r="S994" s="168">
        <f>SUM(R991)</f>
        <v>0</v>
      </c>
      <c r="T994" s="7">
        <f>R994-S994</f>
        <v>0</v>
      </c>
    </row>
    <row r="995" spans="1:20" s="169" customFormat="1" ht="18" customHeight="1">
      <c r="A995" s="23"/>
      <c r="B995" s="487"/>
      <c r="C995" s="88"/>
      <c r="D995" s="942" t="s">
        <v>408</v>
      </c>
      <c r="E995" s="926">
        <v>0</v>
      </c>
      <c r="F995" s="926">
        <f>S1001/1000</f>
        <v>0</v>
      </c>
      <c r="G995" s="1020">
        <f>F995+F997-E995-E997</f>
        <v>-45820</v>
      </c>
      <c r="H995" s="998">
        <f>G995/(E995+E997)</f>
        <v>-0.85876002698852982</v>
      </c>
      <c r="I995" s="35" t="s">
        <v>1033</v>
      </c>
      <c r="J995" s="79">
        <v>412000</v>
      </c>
      <c r="K995" s="20" t="s">
        <v>20</v>
      </c>
      <c r="L995" s="20">
        <v>12</v>
      </c>
      <c r="M995" s="20" t="s">
        <v>19</v>
      </c>
      <c r="N995" s="20"/>
      <c r="O995" s="20"/>
      <c r="P995" s="20"/>
      <c r="Q995" s="20" t="s">
        <v>22</v>
      </c>
      <c r="R995" s="98">
        <f>J995*L995</f>
        <v>4944000</v>
      </c>
      <c r="S995" s="168"/>
      <c r="T995" s="7"/>
    </row>
    <row r="996" spans="1:20" s="169" customFormat="1" ht="15" customHeight="1">
      <c r="A996" s="23"/>
      <c r="B996" s="23"/>
      <c r="C996" s="88"/>
      <c r="D996" s="942"/>
      <c r="E996" s="932"/>
      <c r="F996" s="932"/>
      <c r="G996" s="1020"/>
      <c r="H996" s="998"/>
      <c r="I996" s="35" t="s">
        <v>1034</v>
      </c>
      <c r="J996" s="79">
        <v>70000</v>
      </c>
      <c r="K996" s="20" t="s">
        <v>20</v>
      </c>
      <c r="L996" s="20">
        <v>12</v>
      </c>
      <c r="M996" s="20" t="s">
        <v>19</v>
      </c>
      <c r="N996" s="20"/>
      <c r="O996" s="20"/>
      <c r="P996" s="20"/>
      <c r="Q996" s="20" t="s">
        <v>22</v>
      </c>
      <c r="R996" s="98">
        <f>J996*L996</f>
        <v>840000</v>
      </c>
      <c r="S996" s="168"/>
      <c r="T996" s="7"/>
    </row>
    <row r="997" spans="1:20" s="169" customFormat="1" ht="15" customHeight="1">
      <c r="A997" s="23"/>
      <c r="B997" s="23"/>
      <c r="C997" s="88"/>
      <c r="D997" s="942"/>
      <c r="E997" s="925">
        <v>53356</v>
      </c>
      <c r="F997" s="925">
        <f>T1001/1000</f>
        <v>7536</v>
      </c>
      <c r="G997" s="1020"/>
      <c r="H997" s="998"/>
      <c r="I997" s="35" t="s">
        <v>409</v>
      </c>
      <c r="J997" s="79">
        <v>33000</v>
      </c>
      <c r="K997" s="20" t="s">
        <v>24</v>
      </c>
      <c r="L997" s="20">
        <v>12</v>
      </c>
      <c r="M997" s="20" t="s">
        <v>34</v>
      </c>
      <c r="N997" s="20"/>
      <c r="O997" s="20"/>
      <c r="P997" s="20"/>
      <c r="Q997" s="20" t="s">
        <v>22</v>
      </c>
      <c r="R997" s="98">
        <f>J997*L997</f>
        <v>396000</v>
      </c>
      <c r="S997" s="168"/>
      <c r="T997" s="7"/>
    </row>
    <row r="998" spans="1:20" s="169" customFormat="1" ht="15" customHeight="1">
      <c r="A998" s="23"/>
      <c r="B998" s="23"/>
      <c r="C998" s="23"/>
      <c r="D998" s="942"/>
      <c r="E998" s="926"/>
      <c r="F998" s="926"/>
      <c r="G998" s="1020"/>
      <c r="H998" s="998"/>
      <c r="I998" s="35" t="s">
        <v>410</v>
      </c>
      <c r="J998" s="79">
        <v>33000</v>
      </c>
      <c r="K998" s="20" t="s">
        <v>24</v>
      </c>
      <c r="L998" s="20">
        <v>12</v>
      </c>
      <c r="M998" s="20" t="s">
        <v>34</v>
      </c>
      <c r="N998" s="20"/>
      <c r="O998" s="20"/>
      <c r="P998" s="20"/>
      <c r="Q998" s="20" t="s">
        <v>22</v>
      </c>
      <c r="R998" s="98">
        <f>J998*L998</f>
        <v>396000</v>
      </c>
      <c r="S998" s="168"/>
      <c r="T998" s="7"/>
    </row>
    <row r="999" spans="1:20" s="169" customFormat="1" ht="15" customHeight="1">
      <c r="A999" s="23"/>
      <c r="B999" s="23"/>
      <c r="C999" s="23"/>
      <c r="D999" s="692"/>
      <c r="E999" s="509"/>
      <c r="F999" s="509"/>
      <c r="G999" s="528"/>
      <c r="H999" s="502"/>
      <c r="I999" s="35" t="s">
        <v>411</v>
      </c>
      <c r="J999" s="79">
        <v>80000</v>
      </c>
      <c r="K999" s="20" t="s">
        <v>24</v>
      </c>
      <c r="L999" s="20">
        <v>12</v>
      </c>
      <c r="M999" s="20" t="s">
        <v>34</v>
      </c>
      <c r="N999" s="20"/>
      <c r="O999" s="20"/>
      <c r="P999" s="20"/>
      <c r="Q999" s="20" t="s">
        <v>22</v>
      </c>
      <c r="R999" s="98">
        <f>J999*L999</f>
        <v>960000</v>
      </c>
      <c r="S999" s="168"/>
      <c r="T999" s="7"/>
    </row>
    <row r="1000" spans="1:20" s="169" customFormat="1" ht="15" customHeight="1">
      <c r="A1000" s="23"/>
      <c r="B1000" s="23"/>
      <c r="C1000" s="23"/>
      <c r="D1000" s="692"/>
      <c r="E1000" s="509"/>
      <c r="F1000" s="509"/>
      <c r="G1000" s="528"/>
      <c r="H1000" s="502"/>
      <c r="I1000" s="35" t="s">
        <v>412</v>
      </c>
      <c r="J1000" s="79"/>
      <c r="K1000" s="20"/>
      <c r="L1000" s="20"/>
      <c r="M1000" s="20"/>
      <c r="N1000" s="20"/>
      <c r="O1000" s="20"/>
      <c r="P1000" s="20"/>
      <c r="Q1000" s="20"/>
      <c r="R1000" s="98"/>
      <c r="S1000" s="168"/>
      <c r="T1000" s="7"/>
    </row>
    <row r="1001" spans="1:20" s="169" customFormat="1" ht="15" customHeight="1">
      <c r="A1001" s="23"/>
      <c r="B1001" s="23"/>
      <c r="C1001" s="23"/>
      <c r="D1001" s="693"/>
      <c r="E1001" s="510"/>
      <c r="F1001" s="510"/>
      <c r="G1001" s="519"/>
      <c r="H1001" s="520"/>
      <c r="I1001" s="16"/>
      <c r="J1001" s="17"/>
      <c r="K1001" s="18"/>
      <c r="L1001" s="18"/>
      <c r="M1001" s="18"/>
      <c r="N1001" s="18"/>
      <c r="O1001" s="18"/>
      <c r="P1001" s="18"/>
      <c r="Q1001" s="18" t="s">
        <v>23</v>
      </c>
      <c r="R1001" s="187">
        <f>SUM(R995:R1000)</f>
        <v>7536000</v>
      </c>
      <c r="S1001" s="168">
        <v>0</v>
      </c>
      <c r="T1001" s="7">
        <f>R1001-S1001</f>
        <v>7536000</v>
      </c>
    </row>
    <row r="1002" spans="1:20" s="169" customFormat="1" ht="15" hidden="1" customHeight="1">
      <c r="A1002" s="23"/>
      <c r="B1002" s="23"/>
      <c r="C1002" s="88"/>
      <c r="D1002" s="1021" t="s">
        <v>413</v>
      </c>
      <c r="E1002" s="1022">
        <v>0</v>
      </c>
      <c r="F1002" s="978">
        <f>S1007/1000</f>
        <v>0</v>
      </c>
      <c r="G1002" s="935">
        <f>E1002+E1004-F1002-F1004</f>
        <v>0</v>
      </c>
      <c r="H1002" s="1023" t="e">
        <f>G1002/(E1002+E1004)</f>
        <v>#DIV/0!</v>
      </c>
      <c r="I1002" s="35" t="s">
        <v>414</v>
      </c>
      <c r="J1002" s="79">
        <v>1200</v>
      </c>
      <c r="K1002" s="202" t="s">
        <v>15</v>
      </c>
      <c r="L1002" s="127">
        <v>550</v>
      </c>
      <c r="M1002" s="202" t="s">
        <v>180</v>
      </c>
      <c r="N1002" s="202" t="s">
        <v>24</v>
      </c>
      <c r="O1002" s="127">
        <v>0</v>
      </c>
      <c r="P1002" s="202" t="s">
        <v>25</v>
      </c>
      <c r="Q1002" s="202" t="s">
        <v>18</v>
      </c>
      <c r="R1002" s="71">
        <f>J1002*L1002*O1002</f>
        <v>0</v>
      </c>
      <c r="S1002" s="168"/>
      <c r="T1002" s="7"/>
    </row>
    <row r="1003" spans="1:20" s="169" customFormat="1" ht="15" hidden="1" customHeight="1">
      <c r="A1003" s="23"/>
      <c r="B1003" s="23"/>
      <c r="C1003" s="88"/>
      <c r="D1003" s="1021"/>
      <c r="E1003" s="978"/>
      <c r="F1003" s="978"/>
      <c r="G1003" s="935"/>
      <c r="H1003" s="1023"/>
      <c r="I1003" s="35" t="s">
        <v>415</v>
      </c>
      <c r="J1003" s="79">
        <v>2500</v>
      </c>
      <c r="K1003" s="202" t="s">
        <v>15</v>
      </c>
      <c r="L1003" s="127">
        <v>500</v>
      </c>
      <c r="M1003" s="202" t="s">
        <v>16</v>
      </c>
      <c r="N1003" s="202" t="s">
        <v>24</v>
      </c>
      <c r="O1003" s="127">
        <v>0</v>
      </c>
      <c r="P1003" s="202" t="s">
        <v>25</v>
      </c>
      <c r="Q1003" s="202" t="s">
        <v>18</v>
      </c>
      <c r="R1003" s="71">
        <f>J1003*L1003*O1003</f>
        <v>0</v>
      </c>
      <c r="S1003" s="168"/>
      <c r="T1003" s="7"/>
    </row>
    <row r="1004" spans="1:20" s="169" customFormat="1" ht="15" hidden="1" customHeight="1">
      <c r="A1004" s="23"/>
      <c r="B1004" s="23"/>
      <c r="C1004" s="303"/>
      <c r="D1004" s="1021"/>
      <c r="E1004" s="978">
        <v>0</v>
      </c>
      <c r="F1004" s="978">
        <f>T1007/1000</f>
        <v>0</v>
      </c>
      <c r="G1004" s="935"/>
      <c r="H1004" s="1023"/>
      <c r="I1004" s="35" t="s">
        <v>416</v>
      </c>
      <c r="J1004" s="79">
        <v>2400000</v>
      </c>
      <c r="K1004" s="202" t="s">
        <v>15</v>
      </c>
      <c r="L1004" s="127">
        <v>1</v>
      </c>
      <c r="M1004" s="202" t="s">
        <v>417</v>
      </c>
      <c r="N1004" s="202" t="s">
        <v>20</v>
      </c>
      <c r="O1004" s="127">
        <v>0</v>
      </c>
      <c r="P1004" s="202" t="s">
        <v>25</v>
      </c>
      <c r="Q1004" s="202" t="s">
        <v>18</v>
      </c>
      <c r="R1004" s="71">
        <f>J1004*L1004*O1004</f>
        <v>0</v>
      </c>
      <c r="S1004" s="168"/>
      <c r="T1004" s="7"/>
    </row>
    <row r="1005" spans="1:20" s="169" customFormat="1" ht="15" hidden="1" customHeight="1">
      <c r="A1005" s="23"/>
      <c r="B1005" s="23"/>
      <c r="C1005" s="303"/>
      <c r="D1005" s="1021"/>
      <c r="E1005" s="978"/>
      <c r="F1005" s="978"/>
      <c r="G1005" s="935"/>
      <c r="H1005" s="1023"/>
      <c r="I1005" s="35" t="s">
        <v>418</v>
      </c>
      <c r="J1005" s="79">
        <v>2000000</v>
      </c>
      <c r="K1005" s="202" t="s">
        <v>15</v>
      </c>
      <c r="L1005" s="127">
        <v>1</v>
      </c>
      <c r="M1005" s="202" t="s">
        <v>16</v>
      </c>
      <c r="N1005" s="202" t="s">
        <v>20</v>
      </c>
      <c r="O1005" s="127">
        <v>0</v>
      </c>
      <c r="P1005" s="202" t="s">
        <v>25</v>
      </c>
      <c r="Q1005" s="202" t="s">
        <v>18</v>
      </c>
      <c r="R1005" s="71">
        <f>J1005*L1005*O1005</f>
        <v>0</v>
      </c>
      <c r="S1005" s="168"/>
      <c r="T1005" s="7"/>
    </row>
    <row r="1006" spans="1:20" s="169" customFormat="1" ht="15" hidden="1" customHeight="1">
      <c r="A1006" s="23"/>
      <c r="B1006" s="88"/>
      <c r="C1006" s="158"/>
      <c r="D1006" s="522"/>
      <c r="E1006" s="33"/>
      <c r="F1006" s="33"/>
      <c r="G1006" s="143"/>
      <c r="H1006" s="511"/>
      <c r="I1006" s="35"/>
      <c r="J1006" s="158"/>
      <c r="K1006" s="158"/>
      <c r="L1006" s="158"/>
      <c r="M1006" s="202"/>
      <c r="N1006" s="202"/>
      <c r="O1006" s="202"/>
      <c r="P1006" s="202"/>
      <c r="Q1006" s="202"/>
      <c r="R1006" s="98"/>
      <c r="S1006" s="168"/>
      <c r="T1006" s="7"/>
    </row>
    <row r="1007" spans="1:20" s="169" customFormat="1" ht="15" hidden="1" customHeight="1">
      <c r="A1007" s="23"/>
      <c r="B1007" s="23"/>
      <c r="C1007" s="158"/>
      <c r="D1007" s="493"/>
      <c r="E1007" s="140"/>
      <c r="F1007" s="140"/>
      <c r="G1007" s="279"/>
      <c r="H1007" s="521"/>
      <c r="I1007" s="16"/>
      <c r="J1007" s="17"/>
      <c r="K1007" s="221"/>
      <c r="L1007" s="304"/>
      <c r="M1007" s="304"/>
      <c r="N1007" s="304"/>
      <c r="O1007" s="304"/>
      <c r="P1007" s="304"/>
      <c r="Q1007" s="221" t="s">
        <v>23</v>
      </c>
      <c r="R1007" s="187">
        <f>SUM(R1002,R1003,R1004,R1005)</f>
        <v>0</v>
      </c>
      <c r="S1007" s="168">
        <v>0</v>
      </c>
      <c r="T1007" s="7">
        <f>R1007-S1007</f>
        <v>0</v>
      </c>
    </row>
    <row r="1008" spans="1:20" s="169" customFormat="1" ht="15" customHeight="1">
      <c r="A1008" s="23"/>
      <c r="B1008" s="22"/>
      <c r="C1008" s="23"/>
      <c r="D1008" s="942" t="s">
        <v>419</v>
      </c>
      <c r="E1008" s="515">
        <v>5000</v>
      </c>
      <c r="F1008" s="515">
        <f>S1011/1000</f>
        <v>5000</v>
      </c>
      <c r="G1008" s="935">
        <f>F1008+F1009-E1008-E1009</f>
        <v>0</v>
      </c>
      <c r="H1008" s="975">
        <v>1</v>
      </c>
      <c r="I1008" s="20" t="s">
        <v>420</v>
      </c>
      <c r="J1008" s="180"/>
      <c r="K1008" s="202"/>
      <c r="L1008" s="532"/>
      <c r="M1008" s="532"/>
      <c r="N1008" s="532"/>
      <c r="O1008" s="532"/>
      <c r="P1008" s="532"/>
      <c r="Q1008" s="202"/>
      <c r="R1008" s="159">
        <v>5000000</v>
      </c>
      <c r="S1008" s="168"/>
      <c r="T1008" s="7"/>
    </row>
    <row r="1009" spans="1:20" s="169" customFormat="1" ht="15" customHeight="1">
      <c r="A1009" s="23"/>
      <c r="B1009" s="22"/>
      <c r="C1009" s="23"/>
      <c r="D1009" s="942"/>
      <c r="E1009" s="1006">
        <v>0</v>
      </c>
      <c r="F1009" s="1006">
        <f>T1011/1000</f>
        <v>0</v>
      </c>
      <c r="G1009" s="935"/>
      <c r="H1009" s="975"/>
      <c r="I1009" s="35"/>
      <c r="J1009" s="79"/>
      <c r="K1009" s="20"/>
      <c r="L1009" s="20"/>
      <c r="M1009" s="20"/>
      <c r="N1009" s="20"/>
      <c r="O1009" s="20"/>
      <c r="P1009" s="20"/>
      <c r="Q1009" s="20"/>
      <c r="R1009" s="253"/>
      <c r="S1009" s="168"/>
      <c r="T1009" s="7"/>
    </row>
    <row r="1010" spans="1:20" s="169" customFormat="1" ht="15" customHeight="1">
      <c r="A1010" s="23"/>
      <c r="B1010" s="23"/>
      <c r="C1010" s="23"/>
      <c r="D1010" s="942"/>
      <c r="E1010" s="1004"/>
      <c r="F1010" s="1004"/>
      <c r="G1010" s="935"/>
      <c r="H1010" s="975"/>
      <c r="I1010" s="20"/>
      <c r="J1010" s="63"/>
      <c r="K1010" s="20"/>
      <c r="L1010" s="20"/>
      <c r="M1010" s="20"/>
      <c r="N1010" s="20"/>
      <c r="O1010" s="20"/>
      <c r="P1010" s="20"/>
      <c r="Q1010" s="20"/>
      <c r="R1010" s="253"/>
      <c r="S1010" s="168"/>
      <c r="T1010" s="7"/>
    </row>
    <row r="1011" spans="1:20" s="169" customFormat="1" ht="15" customHeight="1">
      <c r="A1011" s="23"/>
      <c r="B1011" s="22"/>
      <c r="C1011" s="497"/>
      <c r="D1011" s="493"/>
      <c r="E1011" s="140"/>
      <c r="F1011" s="140"/>
      <c r="G1011" s="533"/>
      <c r="H1011" s="521"/>
      <c r="I1011" s="16"/>
      <c r="J1011" s="160"/>
      <c r="K1011" s="18"/>
      <c r="L1011" s="18"/>
      <c r="M1011" s="18"/>
      <c r="N1011" s="18"/>
      <c r="O1011" s="18"/>
      <c r="P1011" s="18"/>
      <c r="Q1011" s="18" t="s">
        <v>23</v>
      </c>
      <c r="R1011" s="170">
        <f>R1008</f>
        <v>5000000</v>
      </c>
      <c r="S1011" s="168">
        <f>SUM(R1008)</f>
        <v>5000000</v>
      </c>
      <c r="T1011" s="7">
        <f>R1011-S1011</f>
        <v>0</v>
      </c>
    </row>
    <row r="1012" spans="1:20" s="169" customFormat="1" ht="15" customHeight="1">
      <c r="A1012" s="23"/>
      <c r="B1012" s="23"/>
      <c r="C1012" s="940" t="s">
        <v>421</v>
      </c>
      <c r="D1012" s="35"/>
      <c r="E1012" s="504">
        <f>SUM(E1014,E1020,E1045)</f>
        <v>0</v>
      </c>
      <c r="F1012" s="504">
        <f>SUM(F1014,F1020,F1045)</f>
        <v>0</v>
      </c>
      <c r="G1012" s="1010">
        <f>F1012+F1013-E1012-E1013</f>
        <v>309050</v>
      </c>
      <c r="H1012" s="964">
        <f>G1012/(E1012+E1013)</f>
        <v>74.46987951807229</v>
      </c>
      <c r="I1012" s="35"/>
      <c r="J1012" s="21"/>
      <c r="K1012" s="20"/>
      <c r="L1012" s="20"/>
      <c r="M1012" s="20"/>
      <c r="N1012" s="20"/>
      <c r="O1012" s="20"/>
      <c r="P1012" s="20"/>
      <c r="Q1012" s="20"/>
      <c r="R1012" s="203"/>
      <c r="S1012" s="168"/>
      <c r="T1012" s="7"/>
    </row>
    <row r="1013" spans="1:20" s="169" customFormat="1" ht="19.5" customHeight="1">
      <c r="A1013" s="23"/>
      <c r="B1013" s="23"/>
      <c r="C1013" s="941"/>
      <c r="D1013" s="35"/>
      <c r="E1013" s="30">
        <f>SUM(E1015,E1021,E1026,E1044,E1048)</f>
        <v>4150</v>
      </c>
      <c r="F1013" s="30">
        <f>SUM(F1015,F1021,F1026,F1044,F1048)</f>
        <v>313200</v>
      </c>
      <c r="G1013" s="1011"/>
      <c r="H1013" s="963"/>
      <c r="I1013" s="35"/>
      <c r="J1013" s="21"/>
      <c r="K1013" s="20"/>
      <c r="L1013" s="20"/>
      <c r="M1013" s="20"/>
      <c r="N1013" s="20"/>
      <c r="O1013" s="20"/>
      <c r="P1013" s="20"/>
      <c r="Q1013" s="20"/>
      <c r="R1013" s="203"/>
      <c r="S1013" s="168">
        <f>S1019+S1024+S1049</f>
        <v>0</v>
      </c>
      <c r="T1013" s="168">
        <f>SUM(T1019:T1049)</f>
        <v>313200000</v>
      </c>
    </row>
    <row r="1014" spans="1:20" s="169" customFormat="1" ht="15" customHeight="1">
      <c r="A1014" s="23"/>
      <c r="B1014" s="23"/>
      <c r="C1014" s="23"/>
      <c r="D1014" s="943" t="s">
        <v>422</v>
      </c>
      <c r="E1014" s="30">
        <v>0</v>
      </c>
      <c r="F1014" s="30">
        <f>S1019/1000</f>
        <v>0</v>
      </c>
      <c r="G1014" s="933">
        <f>F1014+F1015-E1014-E1015</f>
        <v>-2500</v>
      </c>
      <c r="H1014" s="962">
        <f>G1014/(E1014+E1015)</f>
        <v>-1</v>
      </c>
      <c r="I1014" s="106"/>
      <c r="J1014" s="247"/>
      <c r="K1014" s="237"/>
      <c r="L1014" s="83"/>
      <c r="M1014" s="237"/>
      <c r="N1014" s="237"/>
      <c r="O1014" s="237"/>
      <c r="P1014" s="237"/>
      <c r="Q1014" s="237"/>
      <c r="R1014" s="217"/>
      <c r="S1014" s="168"/>
      <c r="T1014" s="7"/>
    </row>
    <row r="1015" spans="1:20" s="169" customFormat="1" ht="15" customHeight="1">
      <c r="A1015" s="23"/>
      <c r="B1015" s="23"/>
      <c r="C1015" s="88"/>
      <c r="D1015" s="942"/>
      <c r="E1015" s="504">
        <v>2500</v>
      </c>
      <c r="F1015" s="504">
        <f>T1019/1000</f>
        <v>0</v>
      </c>
      <c r="G1015" s="935"/>
      <c r="H1015" s="964"/>
      <c r="I1015" s="35"/>
      <c r="J1015" s="180"/>
      <c r="K1015" s="202"/>
      <c r="L1015" s="127"/>
      <c r="M1015" s="202"/>
      <c r="N1015" s="202"/>
      <c r="O1015" s="202"/>
      <c r="P1015" s="202"/>
      <c r="Q1015" s="202"/>
      <c r="R1015" s="98"/>
      <c r="S1015" s="168"/>
      <c r="T1015" s="7"/>
    </row>
    <row r="1016" spans="1:20" s="169" customFormat="1" ht="15" customHeight="1">
      <c r="A1016" s="23"/>
      <c r="B1016" s="23"/>
      <c r="C1016" s="23"/>
      <c r="D1016" s="942"/>
      <c r="E1016" s="504"/>
      <c r="F1016" s="504"/>
      <c r="G1016" s="506"/>
      <c r="H1016" s="511"/>
      <c r="I1016" s="35"/>
      <c r="J1016" s="180"/>
      <c r="K1016" s="202"/>
      <c r="L1016" s="127"/>
      <c r="M1016" s="202"/>
      <c r="N1016" s="202"/>
      <c r="O1016" s="202"/>
      <c r="P1016" s="202"/>
      <c r="Q1016" s="202"/>
      <c r="R1016" s="98"/>
      <c r="S1016" s="168"/>
      <c r="T1016" s="7"/>
    </row>
    <row r="1017" spans="1:20" s="169" customFormat="1" ht="15" customHeight="1">
      <c r="A1017" s="23"/>
      <c r="B1017" s="23"/>
      <c r="C1017" s="23"/>
      <c r="D1017" s="522"/>
      <c r="E1017" s="44"/>
      <c r="F1017" s="44"/>
      <c r="G1017" s="506"/>
      <c r="H1017" s="511"/>
      <c r="I1017" s="218"/>
      <c r="J1017" s="67"/>
      <c r="K1017" s="532"/>
      <c r="L1017" s="60"/>
      <c r="M1017" s="532"/>
      <c r="N1017" s="532"/>
      <c r="O1017" s="532"/>
      <c r="P1017" s="202"/>
      <c r="Q1017" s="202"/>
      <c r="R1017" s="98"/>
      <c r="S1017" s="168"/>
      <c r="T1017" s="7"/>
    </row>
    <row r="1018" spans="1:20" s="169" customFormat="1" ht="15" customHeight="1">
      <c r="A1018" s="23"/>
      <c r="B1018" s="23"/>
      <c r="C1018" s="88"/>
      <c r="D1018" s="23"/>
      <c r="E1018" s="44"/>
      <c r="F1018" s="44"/>
      <c r="G1018" s="506"/>
      <c r="H1018" s="511"/>
      <c r="I1018" s="218"/>
      <c r="J1018" s="67"/>
      <c r="K1018" s="532"/>
      <c r="L1018" s="532"/>
      <c r="M1018" s="308"/>
      <c r="N1018" s="532"/>
      <c r="O1018" s="532"/>
      <c r="P1018" s="202"/>
      <c r="Q1018" s="202"/>
      <c r="R1018" s="98"/>
      <c r="S1018" s="168"/>
      <c r="T1018" s="7"/>
    </row>
    <row r="1019" spans="1:20" s="169" customFormat="1" ht="15" customHeight="1">
      <c r="A1019" s="23"/>
      <c r="B1019" s="23"/>
      <c r="C1019" s="88"/>
      <c r="D1019" s="291"/>
      <c r="E1019" s="44"/>
      <c r="F1019" s="44"/>
      <c r="G1019" s="506"/>
      <c r="H1019" s="511"/>
      <c r="I1019" s="271"/>
      <c r="J1019" s="309"/>
      <c r="K1019" s="309"/>
      <c r="L1019" s="309"/>
      <c r="M1019" s="309"/>
      <c r="N1019" s="309"/>
      <c r="O1019" s="309"/>
      <c r="P1019" s="309"/>
      <c r="Q1019" s="222" t="s">
        <v>23</v>
      </c>
      <c r="R1019" s="213">
        <f>SUM(R1014:R1018)</f>
        <v>0</v>
      </c>
      <c r="S1019" s="168">
        <v>0</v>
      </c>
      <c r="T1019" s="7">
        <f>R1019-S1019</f>
        <v>0</v>
      </c>
    </row>
    <row r="1020" spans="1:20" s="169" customFormat="1" ht="15" customHeight="1">
      <c r="A1020" s="23"/>
      <c r="B1020" s="23"/>
      <c r="C1020" s="23"/>
      <c r="D1020" s="943" t="s">
        <v>423</v>
      </c>
      <c r="E1020" s="503">
        <v>0</v>
      </c>
      <c r="F1020" s="503">
        <f>S1024/1000</f>
        <v>0</v>
      </c>
      <c r="G1020" s="505">
        <f>F1020+F1021-E1020-E1021</f>
        <v>-250</v>
      </c>
      <c r="H1020" s="513">
        <f>G1020/(E1020+E1021)</f>
        <v>-0.55555555555555558</v>
      </c>
      <c r="I1020" s="35" t="s">
        <v>424</v>
      </c>
      <c r="J1020" s="79">
        <v>200000</v>
      </c>
      <c r="K1020" s="20" t="s">
        <v>20</v>
      </c>
      <c r="L1020" s="127">
        <v>1</v>
      </c>
      <c r="M1020" s="202" t="s">
        <v>25</v>
      </c>
      <c r="N1020" s="202"/>
      <c r="O1020" s="202"/>
      <c r="P1020" s="202"/>
      <c r="Q1020" s="202" t="s">
        <v>22</v>
      </c>
      <c r="R1020" s="68">
        <f>J1020*L1020</f>
        <v>200000</v>
      </c>
      <c r="S1020" s="168"/>
      <c r="T1020" s="7"/>
    </row>
    <row r="1021" spans="1:20" s="169" customFormat="1" ht="15" customHeight="1">
      <c r="A1021" s="23"/>
      <c r="B1021" s="23"/>
      <c r="C1021" s="23"/>
      <c r="D1021" s="942"/>
      <c r="E1021" s="503">
        <v>450</v>
      </c>
      <c r="F1021" s="503">
        <f>T1024/1000</f>
        <v>200</v>
      </c>
      <c r="G1021" s="506"/>
      <c r="H1021" s="511"/>
      <c r="I1021" s="35"/>
      <c r="J1021" s="79"/>
      <c r="K1021" s="20"/>
      <c r="L1021" s="127"/>
      <c r="M1021" s="202"/>
      <c r="N1021" s="202"/>
      <c r="O1021" s="202"/>
      <c r="P1021" s="202"/>
      <c r="Q1021" s="202"/>
      <c r="R1021" s="68"/>
      <c r="S1021" s="168"/>
      <c r="T1021" s="7"/>
    </row>
    <row r="1022" spans="1:20" s="169" customFormat="1" ht="15" customHeight="1">
      <c r="A1022" s="23"/>
      <c r="B1022" s="23"/>
      <c r="C1022" s="23"/>
      <c r="D1022" s="942"/>
      <c r="E1022" s="504"/>
      <c r="F1022" s="504"/>
      <c r="G1022" s="506"/>
      <c r="H1022" s="511"/>
      <c r="I1022" s="35"/>
      <c r="J1022" s="79"/>
      <c r="K1022" s="20"/>
      <c r="L1022" s="127"/>
      <c r="M1022" s="202"/>
      <c r="N1022" s="202"/>
      <c r="O1022" s="202"/>
      <c r="P1022" s="202"/>
      <c r="Q1022" s="202"/>
      <c r="R1022" s="68"/>
      <c r="S1022" s="168"/>
      <c r="T1022" s="7"/>
    </row>
    <row r="1023" spans="1:20" s="169" customFormat="1" ht="15" customHeight="1">
      <c r="A1023" s="23"/>
      <c r="B1023" s="23"/>
      <c r="C1023" s="23"/>
      <c r="D1023" s="942"/>
      <c r="E1023" s="504"/>
      <c r="F1023" s="504"/>
      <c r="G1023" s="506"/>
      <c r="H1023" s="511"/>
      <c r="I1023" s="35"/>
      <c r="J1023" s="79"/>
      <c r="K1023" s="20"/>
      <c r="L1023" s="127"/>
      <c r="M1023" s="202"/>
      <c r="N1023" s="202"/>
      <c r="O1023" s="202"/>
      <c r="P1023" s="202"/>
      <c r="Q1023" s="202"/>
      <c r="R1023" s="68"/>
      <c r="S1023" s="168"/>
      <c r="T1023" s="7"/>
    </row>
    <row r="1024" spans="1:20" s="169" customFormat="1" ht="15" customHeight="1">
      <c r="A1024" s="23"/>
      <c r="B1024" s="23"/>
      <c r="C1024" s="23"/>
      <c r="D1024" s="994"/>
      <c r="E1024" s="512"/>
      <c r="F1024" s="512"/>
      <c r="G1024" s="533"/>
      <c r="H1024" s="521"/>
      <c r="I1024" s="16"/>
      <c r="J1024" s="310"/>
      <c r="K1024" s="221"/>
      <c r="L1024" s="304"/>
      <c r="M1024" s="304"/>
      <c r="N1024" s="304"/>
      <c r="O1024" s="304"/>
      <c r="P1024" s="304"/>
      <c r="Q1024" s="221" t="s">
        <v>426</v>
      </c>
      <c r="R1024" s="213">
        <f>SUM(R1020:R1023)</f>
        <v>200000</v>
      </c>
      <c r="S1024" s="168">
        <v>0</v>
      </c>
      <c r="T1024" s="7">
        <f>R1024-S1024</f>
        <v>200000</v>
      </c>
    </row>
    <row r="1025" spans="1:20" s="169" customFormat="1" ht="15" customHeight="1">
      <c r="A1025" s="23"/>
      <c r="B1025" s="23"/>
      <c r="C1025" s="23"/>
      <c r="D1025" s="943" t="s">
        <v>881</v>
      </c>
      <c r="E1025" s="645">
        <v>0</v>
      </c>
      <c r="F1025" s="645">
        <f>S1040/1000</f>
        <v>0</v>
      </c>
      <c r="G1025" s="647">
        <f>F1025+F1026-E1025-E1026</f>
        <v>313000</v>
      </c>
      <c r="H1025" s="653" t="e">
        <f>G1025/(E1025+E1026)</f>
        <v>#DIV/0!</v>
      </c>
      <c r="I1025" s="35" t="s">
        <v>882</v>
      </c>
      <c r="J1025" s="79">
        <v>25000000</v>
      </c>
      <c r="K1025" s="20" t="s">
        <v>20</v>
      </c>
      <c r="L1025" s="127">
        <v>2</v>
      </c>
      <c r="M1025" s="202" t="s">
        <v>120</v>
      </c>
      <c r="N1025" s="202"/>
      <c r="O1025" s="202"/>
      <c r="P1025" s="202"/>
      <c r="Q1025" s="202" t="s">
        <v>425</v>
      </c>
      <c r="R1025" s="68">
        <f>J1025*L1025</f>
        <v>50000000</v>
      </c>
      <c r="S1025" s="168"/>
      <c r="T1025" s="7"/>
    </row>
    <row r="1026" spans="1:20" s="169" customFormat="1" ht="15" customHeight="1">
      <c r="A1026" s="23"/>
      <c r="B1026" s="23"/>
      <c r="C1026" s="23"/>
      <c r="D1026" s="942"/>
      <c r="E1026" s="645">
        <v>0</v>
      </c>
      <c r="F1026" s="645">
        <f>T1040/1000</f>
        <v>313000</v>
      </c>
      <c r="G1026" s="649"/>
      <c r="H1026" s="655"/>
      <c r="I1026" s="35" t="s">
        <v>883</v>
      </c>
      <c r="J1026" s="79"/>
      <c r="K1026" s="20"/>
      <c r="L1026" s="127"/>
      <c r="M1026" s="202"/>
      <c r="N1026" s="202"/>
      <c r="O1026" s="202"/>
      <c r="P1026" s="202"/>
      <c r="Q1026" s="202"/>
      <c r="R1026" s="68"/>
      <c r="S1026" s="168"/>
      <c r="T1026" s="7"/>
    </row>
    <row r="1027" spans="1:20" s="169" customFormat="1" ht="15" customHeight="1">
      <c r="A1027" s="23"/>
      <c r="B1027" s="23"/>
      <c r="C1027" s="23"/>
      <c r="D1027" s="942"/>
      <c r="E1027" s="642"/>
      <c r="F1027" s="642"/>
      <c r="G1027" s="649"/>
      <c r="H1027" s="655"/>
      <c r="I1027" s="35" t="s">
        <v>884</v>
      </c>
      <c r="J1027" s="79">
        <v>35000000</v>
      </c>
      <c r="K1027" s="20" t="s">
        <v>20</v>
      </c>
      <c r="L1027" s="127">
        <v>2</v>
      </c>
      <c r="M1027" s="202" t="s">
        <v>21</v>
      </c>
      <c r="N1027" s="202"/>
      <c r="O1027" s="202"/>
      <c r="P1027" s="202"/>
      <c r="Q1027" s="202" t="s">
        <v>425</v>
      </c>
      <c r="R1027" s="68">
        <f>J1027*L1027</f>
        <v>70000000</v>
      </c>
      <c r="S1027" s="168"/>
      <c r="T1027" s="7"/>
    </row>
    <row r="1028" spans="1:20" s="169" customFormat="1" ht="15" customHeight="1">
      <c r="A1028" s="23"/>
      <c r="B1028" s="23"/>
      <c r="C1028" s="23"/>
      <c r="D1028" s="942"/>
      <c r="E1028" s="642"/>
      <c r="F1028" s="642"/>
      <c r="G1028" s="649"/>
      <c r="H1028" s="655"/>
      <c r="I1028" s="35" t="s">
        <v>885</v>
      </c>
      <c r="J1028" s="79">
        <v>35000000</v>
      </c>
      <c r="K1028" s="20" t="s">
        <v>20</v>
      </c>
      <c r="L1028" s="127">
        <v>2</v>
      </c>
      <c r="M1028" s="202" t="s">
        <v>21</v>
      </c>
      <c r="N1028" s="202"/>
      <c r="O1028" s="202"/>
      <c r="P1028" s="202"/>
      <c r="Q1028" s="202" t="s">
        <v>425</v>
      </c>
      <c r="R1028" s="68">
        <f>J1028*L1028</f>
        <v>70000000</v>
      </c>
      <c r="S1028" s="168"/>
      <c r="T1028" s="7"/>
    </row>
    <row r="1029" spans="1:20" s="169" customFormat="1" ht="15" customHeight="1">
      <c r="A1029" s="23"/>
      <c r="B1029" s="23"/>
      <c r="C1029" s="23"/>
      <c r="D1029" s="942"/>
      <c r="E1029" s="642"/>
      <c r="F1029" s="642"/>
      <c r="G1029" s="649"/>
      <c r="H1029" s="655"/>
      <c r="I1029" s="35" t="s">
        <v>886</v>
      </c>
      <c r="J1029" s="79">
        <v>23000000</v>
      </c>
      <c r="K1029" s="20" t="s">
        <v>20</v>
      </c>
      <c r="L1029" s="127">
        <v>2</v>
      </c>
      <c r="M1029" s="202" t="s">
        <v>21</v>
      </c>
      <c r="N1029" s="202"/>
      <c r="O1029" s="202"/>
      <c r="P1029" s="202"/>
      <c r="Q1029" s="202" t="s">
        <v>425</v>
      </c>
      <c r="R1029" s="68">
        <f>J1029*L1029</f>
        <v>46000000</v>
      </c>
      <c r="S1029" s="168"/>
      <c r="T1029" s="7"/>
    </row>
    <row r="1030" spans="1:20" s="169" customFormat="1" ht="15" customHeight="1">
      <c r="A1030" s="23"/>
      <c r="B1030" s="23"/>
      <c r="C1030" s="23"/>
      <c r="D1030" s="942"/>
      <c r="E1030" s="642"/>
      <c r="F1030" s="642"/>
      <c r="G1030" s="649"/>
      <c r="H1030" s="655"/>
      <c r="I1030" s="35" t="s">
        <v>887</v>
      </c>
      <c r="J1030" s="79">
        <v>200000</v>
      </c>
      <c r="K1030" s="202" t="s">
        <v>15</v>
      </c>
      <c r="L1030" s="127">
        <v>2</v>
      </c>
      <c r="M1030" s="202" t="s">
        <v>120</v>
      </c>
      <c r="N1030" s="202" t="s">
        <v>20</v>
      </c>
      <c r="O1030" s="127">
        <v>10</v>
      </c>
      <c r="P1030" s="202" t="s">
        <v>34</v>
      </c>
      <c r="Q1030" s="202" t="s">
        <v>18</v>
      </c>
      <c r="R1030" s="71">
        <f>J1030*L1030*O1030</f>
        <v>4000000</v>
      </c>
      <c r="S1030" s="168"/>
      <c r="T1030" s="7"/>
    </row>
    <row r="1031" spans="1:20" s="169" customFormat="1" ht="15" customHeight="1">
      <c r="A1031" s="23"/>
      <c r="B1031" s="23"/>
      <c r="C1031" s="23"/>
      <c r="D1031" s="942"/>
      <c r="E1031" s="642"/>
      <c r="F1031" s="642"/>
      <c r="G1031" s="649"/>
      <c r="H1031" s="655"/>
      <c r="I1031" s="35" t="s">
        <v>888</v>
      </c>
      <c r="J1031" s="79">
        <v>20000</v>
      </c>
      <c r="K1031" s="20" t="s">
        <v>20</v>
      </c>
      <c r="L1031" s="127">
        <v>100</v>
      </c>
      <c r="M1031" s="202" t="s">
        <v>403</v>
      </c>
      <c r="N1031" s="202"/>
      <c r="O1031" s="202"/>
      <c r="P1031" s="202"/>
      <c r="Q1031" s="202" t="s">
        <v>425</v>
      </c>
      <c r="R1031" s="68">
        <f t="shared" ref="R1031:R1038" si="18">J1031*L1031</f>
        <v>2000000</v>
      </c>
      <c r="S1031" s="168"/>
      <c r="T1031" s="7"/>
    </row>
    <row r="1032" spans="1:20" s="169" customFormat="1" ht="15" customHeight="1">
      <c r="A1032" s="23"/>
      <c r="B1032" s="23"/>
      <c r="C1032" s="23"/>
      <c r="D1032" s="942"/>
      <c r="E1032" s="642"/>
      <c r="F1032" s="642"/>
      <c r="G1032" s="649"/>
      <c r="H1032" s="655"/>
      <c r="I1032" s="35" t="s">
        <v>889</v>
      </c>
      <c r="J1032" s="79">
        <v>30000</v>
      </c>
      <c r="K1032" s="20" t="s">
        <v>20</v>
      </c>
      <c r="L1032" s="127">
        <v>100</v>
      </c>
      <c r="M1032" s="202" t="s">
        <v>403</v>
      </c>
      <c r="N1032" s="202"/>
      <c r="O1032" s="202"/>
      <c r="P1032" s="202"/>
      <c r="Q1032" s="202" t="s">
        <v>425</v>
      </c>
      <c r="R1032" s="68">
        <f t="shared" si="18"/>
        <v>3000000</v>
      </c>
      <c r="S1032" s="168"/>
      <c r="T1032" s="7"/>
    </row>
    <row r="1033" spans="1:20" s="169" customFormat="1" ht="15" customHeight="1">
      <c r="A1033" s="23"/>
      <c r="B1033" s="23"/>
      <c r="C1033" s="23"/>
      <c r="D1033" s="942"/>
      <c r="E1033" s="642"/>
      <c r="F1033" s="642"/>
      <c r="G1033" s="649"/>
      <c r="H1033" s="655"/>
      <c r="I1033" s="35" t="s">
        <v>890</v>
      </c>
      <c r="J1033" s="79">
        <v>2000</v>
      </c>
      <c r="K1033" s="20" t="s">
        <v>20</v>
      </c>
      <c r="L1033" s="127">
        <v>500</v>
      </c>
      <c r="M1033" s="202" t="s">
        <v>180</v>
      </c>
      <c r="N1033" s="202"/>
      <c r="O1033" s="202"/>
      <c r="P1033" s="202"/>
      <c r="Q1033" s="202" t="s">
        <v>425</v>
      </c>
      <c r="R1033" s="68">
        <f t="shared" si="18"/>
        <v>1000000</v>
      </c>
      <c r="S1033" s="168"/>
      <c r="T1033" s="7"/>
    </row>
    <row r="1034" spans="1:20" s="169" customFormat="1" ht="15" customHeight="1">
      <c r="A1034" s="23"/>
      <c r="B1034" s="23"/>
      <c r="C1034" s="23"/>
      <c r="D1034" s="942"/>
      <c r="E1034" s="642"/>
      <c r="F1034" s="642"/>
      <c r="G1034" s="649"/>
      <c r="H1034" s="655"/>
      <c r="I1034" s="35" t="s">
        <v>891</v>
      </c>
      <c r="J1034" s="79">
        <v>3000000</v>
      </c>
      <c r="K1034" s="20" t="s">
        <v>20</v>
      </c>
      <c r="L1034" s="127">
        <v>2</v>
      </c>
      <c r="M1034" s="202" t="s">
        <v>251</v>
      </c>
      <c r="N1034" s="202"/>
      <c r="O1034" s="202"/>
      <c r="P1034" s="202"/>
      <c r="Q1034" s="202" t="s">
        <v>425</v>
      </c>
      <c r="R1034" s="68">
        <f t="shared" si="18"/>
        <v>6000000</v>
      </c>
      <c r="S1034" s="168"/>
      <c r="T1034" s="7"/>
    </row>
    <row r="1035" spans="1:20" s="169" customFormat="1" ht="15" customHeight="1">
      <c r="A1035" s="23"/>
      <c r="B1035" s="23"/>
      <c r="C1035" s="23"/>
      <c r="D1035" s="942"/>
      <c r="E1035" s="642"/>
      <c r="F1035" s="642"/>
      <c r="G1035" s="649"/>
      <c r="H1035" s="655"/>
      <c r="I1035" s="35" t="s">
        <v>892</v>
      </c>
      <c r="J1035" s="79">
        <v>10000000</v>
      </c>
      <c r="K1035" s="20" t="s">
        <v>20</v>
      </c>
      <c r="L1035" s="127">
        <v>1</v>
      </c>
      <c r="M1035" s="202" t="s">
        <v>166</v>
      </c>
      <c r="N1035" s="202"/>
      <c r="O1035" s="202"/>
      <c r="P1035" s="202"/>
      <c r="Q1035" s="202" t="s">
        <v>425</v>
      </c>
      <c r="R1035" s="68">
        <f t="shared" si="18"/>
        <v>10000000</v>
      </c>
      <c r="S1035" s="168"/>
      <c r="T1035" s="7"/>
    </row>
    <row r="1036" spans="1:20" s="169" customFormat="1" ht="15" customHeight="1">
      <c r="A1036" s="23"/>
      <c r="B1036" s="23"/>
      <c r="C1036" s="23"/>
      <c r="D1036" s="942"/>
      <c r="E1036" s="642"/>
      <c r="F1036" s="642"/>
      <c r="G1036" s="649"/>
      <c r="H1036" s="655"/>
      <c r="I1036" s="35" t="s">
        <v>893</v>
      </c>
      <c r="J1036" s="79">
        <v>100000</v>
      </c>
      <c r="K1036" s="20" t="s">
        <v>20</v>
      </c>
      <c r="L1036" s="127">
        <v>100</v>
      </c>
      <c r="M1036" s="202" t="s">
        <v>896</v>
      </c>
      <c r="N1036" s="202"/>
      <c r="O1036" s="202"/>
      <c r="P1036" s="202"/>
      <c r="Q1036" s="202" t="s">
        <v>425</v>
      </c>
      <c r="R1036" s="68">
        <f t="shared" si="18"/>
        <v>10000000</v>
      </c>
      <c r="S1036" s="168"/>
      <c r="T1036" s="7"/>
    </row>
    <row r="1037" spans="1:20" s="169" customFormat="1" ht="15" customHeight="1">
      <c r="A1037" s="23"/>
      <c r="B1037" s="23"/>
      <c r="C1037" s="23"/>
      <c r="D1037" s="942"/>
      <c r="E1037" s="642"/>
      <c r="F1037" s="642"/>
      <c r="G1037" s="649"/>
      <c r="H1037" s="655"/>
      <c r="I1037" s="35" t="s">
        <v>894</v>
      </c>
      <c r="J1037" s="79">
        <v>110000</v>
      </c>
      <c r="K1037" s="20" t="s">
        <v>847</v>
      </c>
      <c r="L1037" s="127">
        <v>100</v>
      </c>
      <c r="M1037" s="202" t="s">
        <v>403</v>
      </c>
      <c r="N1037" s="202"/>
      <c r="O1037" s="202"/>
      <c r="P1037" s="202"/>
      <c r="Q1037" s="202" t="s">
        <v>425</v>
      </c>
      <c r="R1037" s="68">
        <f t="shared" si="18"/>
        <v>11000000</v>
      </c>
      <c r="S1037" s="168"/>
      <c r="T1037" s="7"/>
    </row>
    <row r="1038" spans="1:20" s="169" customFormat="1" ht="15" customHeight="1">
      <c r="A1038" s="23"/>
      <c r="B1038" s="23"/>
      <c r="C1038" s="23"/>
      <c r="D1038" s="942"/>
      <c r="E1038" s="642"/>
      <c r="F1038" s="642"/>
      <c r="G1038" s="649"/>
      <c r="H1038" s="655"/>
      <c r="I1038" s="35" t="s">
        <v>895</v>
      </c>
      <c r="J1038" s="79">
        <v>300000</v>
      </c>
      <c r="K1038" s="20" t="s">
        <v>20</v>
      </c>
      <c r="L1038" s="127">
        <v>100</v>
      </c>
      <c r="M1038" s="202" t="s">
        <v>403</v>
      </c>
      <c r="N1038" s="202"/>
      <c r="O1038" s="202"/>
      <c r="P1038" s="202"/>
      <c r="Q1038" s="202" t="s">
        <v>425</v>
      </c>
      <c r="R1038" s="68">
        <f t="shared" si="18"/>
        <v>30000000</v>
      </c>
      <c r="S1038" s="168"/>
      <c r="T1038" s="7"/>
    </row>
    <row r="1039" spans="1:20" s="169" customFormat="1" ht="15" customHeight="1">
      <c r="A1039" s="23"/>
      <c r="B1039" s="23"/>
      <c r="C1039" s="23"/>
      <c r="D1039" s="942"/>
      <c r="E1039" s="642"/>
      <c r="F1039" s="642"/>
      <c r="G1039" s="649"/>
      <c r="H1039" s="655"/>
      <c r="I1039" s="35"/>
      <c r="J1039" s="79"/>
      <c r="K1039" s="20"/>
      <c r="L1039" s="127"/>
      <c r="M1039" s="202"/>
      <c r="N1039" s="202"/>
      <c r="O1039" s="202"/>
      <c r="P1039" s="202"/>
      <c r="Q1039" s="202"/>
      <c r="R1039" s="68"/>
      <c r="S1039" s="168"/>
      <c r="T1039" s="7"/>
    </row>
    <row r="1040" spans="1:20" s="169" customFormat="1" ht="15" customHeight="1">
      <c r="A1040" s="23"/>
      <c r="B1040" s="23"/>
      <c r="C1040" s="23"/>
      <c r="D1040" s="994"/>
      <c r="E1040" s="643"/>
      <c r="F1040" s="643"/>
      <c r="G1040" s="648"/>
      <c r="H1040" s="654"/>
      <c r="I1040" s="16"/>
      <c r="J1040" s="310"/>
      <c r="K1040" s="221"/>
      <c r="L1040" s="304"/>
      <c r="M1040" s="304"/>
      <c r="N1040" s="304"/>
      <c r="O1040" s="304"/>
      <c r="P1040" s="304"/>
      <c r="Q1040" s="221" t="s">
        <v>11</v>
      </c>
      <c r="R1040" s="213">
        <f>SUM(R1025:R1039)</f>
        <v>313000000</v>
      </c>
      <c r="S1040" s="168">
        <v>0</v>
      </c>
      <c r="T1040" s="7">
        <f>R1040-S1040</f>
        <v>313000000</v>
      </c>
    </row>
    <row r="1041" spans="1:20" s="169" customFormat="1" ht="15" customHeight="1">
      <c r="A1041" s="23"/>
      <c r="B1041" s="23"/>
      <c r="C1041" s="23"/>
      <c r="D1041" s="954" t="s">
        <v>1019</v>
      </c>
      <c r="E1041" s="30">
        <v>0</v>
      </c>
      <c r="F1041" s="30">
        <f>S1045/1000</f>
        <v>0</v>
      </c>
      <c r="G1041" s="933">
        <f>E1041+E1044-F1041-F1044</f>
        <v>1200</v>
      </c>
      <c r="H1041" s="962">
        <f>G1041/(E1041+E1044)</f>
        <v>1</v>
      </c>
      <c r="I1041" s="35"/>
      <c r="J1041" s="180"/>
      <c r="K1041" s="202"/>
      <c r="L1041" s="127"/>
      <c r="M1041" s="202"/>
      <c r="N1041" s="202"/>
      <c r="O1041" s="202"/>
      <c r="P1041" s="202"/>
      <c r="Q1041" s="202"/>
      <c r="R1041" s="98"/>
      <c r="S1041" s="168"/>
      <c r="T1041" s="7"/>
    </row>
    <row r="1042" spans="1:20" s="169" customFormat="1" ht="15" customHeight="1">
      <c r="A1042" s="23"/>
      <c r="B1042" s="23"/>
      <c r="C1042" s="35"/>
      <c r="D1042" s="955"/>
      <c r="E1042" s="676"/>
      <c r="F1042" s="676"/>
      <c r="G1042" s="935"/>
      <c r="H1042" s="964"/>
      <c r="I1042" s="35"/>
      <c r="J1042" s="180"/>
      <c r="K1042" s="202"/>
      <c r="L1042" s="127"/>
      <c r="M1042" s="202"/>
      <c r="N1042" s="202"/>
      <c r="O1042" s="202"/>
      <c r="P1042" s="202"/>
      <c r="Q1042" s="202"/>
      <c r="R1042" s="98"/>
      <c r="S1042" s="168"/>
      <c r="T1042" s="7"/>
    </row>
    <row r="1043" spans="1:20" s="169" customFormat="1" ht="15" customHeight="1">
      <c r="A1043" s="23"/>
      <c r="B1043" s="23"/>
      <c r="C1043" s="35"/>
      <c r="D1043" s="955"/>
      <c r="E1043" s="676"/>
      <c r="F1043" s="676"/>
      <c r="G1043" s="935"/>
      <c r="H1043" s="964"/>
      <c r="I1043" s="35"/>
      <c r="J1043" s="180"/>
      <c r="K1043" s="202"/>
      <c r="L1043" s="127"/>
      <c r="M1043" s="202"/>
      <c r="N1043" s="202"/>
      <c r="O1043" s="202"/>
      <c r="P1043" s="202"/>
      <c r="Q1043" s="202"/>
      <c r="R1043" s="98"/>
      <c r="S1043" s="168"/>
      <c r="T1043" s="7"/>
    </row>
    <row r="1044" spans="1:20" s="169" customFormat="1" ht="15" customHeight="1">
      <c r="A1044" s="23"/>
      <c r="B1044" s="23"/>
      <c r="C1044" s="35"/>
      <c r="D1044" s="1024"/>
      <c r="E1044" s="755">
        <v>1200</v>
      </c>
      <c r="F1044" s="755">
        <f>T1045/1000</f>
        <v>0</v>
      </c>
      <c r="G1044" s="934"/>
      <c r="H1044" s="963"/>
      <c r="I1044" s="284"/>
      <c r="J1044" s="699"/>
      <c r="K1044" s="700"/>
      <c r="L1044" s="700"/>
      <c r="M1044" s="700"/>
      <c r="N1044" s="700"/>
      <c r="O1044" s="700"/>
      <c r="P1044" s="700"/>
      <c r="Q1044" s="700"/>
      <c r="R1044" s="701"/>
      <c r="S1044" s="168"/>
      <c r="T1044" s="7"/>
    </row>
    <row r="1045" spans="1:20" s="169" customFormat="1" ht="15" hidden="1" customHeight="1">
      <c r="A1045" s="23"/>
      <c r="B1045" s="23"/>
      <c r="C1045" s="23"/>
      <c r="D1045" s="955" t="s">
        <v>427</v>
      </c>
      <c r="E1045" s="30">
        <v>0</v>
      </c>
      <c r="F1045" s="30">
        <f>S1049/1000</f>
        <v>0</v>
      </c>
      <c r="G1045" s="933">
        <f>E1045+E1048-F1045-F1048</f>
        <v>0</v>
      </c>
      <c r="H1045" s="962" t="e">
        <f>G1045/(E1045+E1048)</f>
        <v>#DIV/0!</v>
      </c>
      <c r="I1045" s="35" t="s">
        <v>428</v>
      </c>
      <c r="J1045" s="180">
        <v>2500</v>
      </c>
      <c r="K1045" s="202" t="s">
        <v>50</v>
      </c>
      <c r="L1045" s="127">
        <v>0</v>
      </c>
      <c r="M1045" s="202" t="s">
        <v>429</v>
      </c>
      <c r="N1045" s="202"/>
      <c r="O1045" s="202"/>
      <c r="P1045" s="202"/>
      <c r="Q1045" s="202" t="s">
        <v>43</v>
      </c>
      <c r="R1045" s="98">
        <f>J1045*L1045</f>
        <v>0</v>
      </c>
      <c r="S1045" s="168"/>
      <c r="T1045" s="7"/>
    </row>
    <row r="1046" spans="1:20" s="169" customFormat="1" ht="15" hidden="1" customHeight="1">
      <c r="A1046" s="23"/>
      <c r="B1046" s="23"/>
      <c r="C1046" s="35"/>
      <c r="D1046" s="955"/>
      <c r="E1046" s="504"/>
      <c r="F1046" s="504"/>
      <c r="G1046" s="935"/>
      <c r="H1046" s="964"/>
      <c r="I1046" s="35" t="s">
        <v>738</v>
      </c>
      <c r="J1046" s="180">
        <v>150000</v>
      </c>
      <c r="K1046" s="202" t="s">
        <v>50</v>
      </c>
      <c r="L1046" s="127">
        <v>0</v>
      </c>
      <c r="M1046" s="202" t="s">
        <v>25</v>
      </c>
      <c r="N1046" s="202"/>
      <c r="O1046" s="202"/>
      <c r="P1046" s="202"/>
      <c r="Q1046" s="202" t="s">
        <v>43</v>
      </c>
      <c r="R1046" s="98">
        <f>J1046*L1046</f>
        <v>0</v>
      </c>
      <c r="S1046" s="168"/>
      <c r="T1046" s="7"/>
    </row>
    <row r="1047" spans="1:20" s="169" customFormat="1" ht="15" hidden="1" customHeight="1">
      <c r="A1047" s="23"/>
      <c r="B1047" s="23"/>
      <c r="C1047" s="35"/>
      <c r="D1047" s="955"/>
      <c r="E1047" s="504"/>
      <c r="F1047" s="504"/>
      <c r="G1047" s="935"/>
      <c r="H1047" s="964"/>
      <c r="I1047" s="35"/>
      <c r="J1047" s="180"/>
      <c r="K1047" s="202"/>
      <c r="L1047" s="127"/>
      <c r="M1047" s="202"/>
      <c r="N1047" s="202"/>
      <c r="O1047" s="202"/>
      <c r="P1047" s="202"/>
      <c r="Q1047" s="202"/>
      <c r="R1047" s="98"/>
      <c r="S1047" s="168"/>
      <c r="T1047" s="7"/>
    </row>
    <row r="1048" spans="1:20" s="169" customFormat="1" ht="15" hidden="1" customHeight="1">
      <c r="A1048" s="23"/>
      <c r="B1048" s="23"/>
      <c r="C1048" s="35"/>
      <c r="D1048" s="965"/>
      <c r="E1048" s="504">
        <v>0</v>
      </c>
      <c r="F1048" s="504">
        <f>T1049/1000</f>
        <v>0</v>
      </c>
      <c r="G1048" s="935"/>
      <c r="H1048" s="964"/>
      <c r="I1048" s="341"/>
      <c r="J1048" s="342"/>
      <c r="K1048" s="343"/>
      <c r="L1048" s="343"/>
      <c r="M1048" s="343"/>
      <c r="N1048" s="343"/>
      <c r="O1048" s="343"/>
      <c r="P1048" s="343"/>
      <c r="Q1048" s="343"/>
      <c r="R1048" s="344"/>
      <c r="S1048" s="168"/>
      <c r="T1048" s="7"/>
    </row>
    <row r="1049" spans="1:20" s="169" customFormat="1" ht="15" hidden="1" customHeight="1">
      <c r="A1049" s="23"/>
      <c r="B1049" s="23"/>
      <c r="C1049" s="16"/>
      <c r="D1049" s="115"/>
      <c r="E1049" s="50"/>
      <c r="F1049" s="50"/>
      <c r="G1049" s="533"/>
      <c r="H1049" s="521"/>
      <c r="I1049" s="16"/>
      <c r="J1049" s="189"/>
      <c r="K1049" s="221"/>
      <c r="L1049" s="304"/>
      <c r="M1049" s="304"/>
      <c r="N1049" s="304"/>
      <c r="O1049" s="304"/>
      <c r="P1049" s="304"/>
      <c r="Q1049" s="221" t="s">
        <v>23</v>
      </c>
      <c r="R1049" s="187">
        <f>SUM(R1045:R1048)</f>
        <v>0</v>
      </c>
      <c r="S1049" s="168">
        <v>0</v>
      </c>
      <c r="T1049" s="7">
        <f>R1049-S1049</f>
        <v>0</v>
      </c>
    </row>
    <row r="1050" spans="1:20" s="169" customFormat="1" ht="15" customHeight="1">
      <c r="A1050" s="23"/>
      <c r="B1050" s="23"/>
      <c r="C1050" s="940" t="s">
        <v>430</v>
      </c>
      <c r="D1050" s="32"/>
      <c r="E1050" s="917">
        <v>0</v>
      </c>
      <c r="F1050" s="917">
        <v>0</v>
      </c>
      <c r="G1050" s="1025">
        <f>F1050+F1052-E1050-E1052</f>
        <v>-3496606</v>
      </c>
      <c r="H1050" s="964">
        <f>G1050/(E1050+E1052)</f>
        <v>-1</v>
      </c>
      <c r="I1050" s="35"/>
      <c r="J1050" s="21"/>
      <c r="K1050" s="20"/>
      <c r="L1050" s="20"/>
      <c r="M1050" s="20"/>
      <c r="N1050" s="20"/>
      <c r="O1050" s="20"/>
      <c r="P1050" s="20"/>
      <c r="Q1050" s="20"/>
      <c r="R1050" s="171"/>
      <c r="S1050" s="168"/>
      <c r="T1050" s="7"/>
    </row>
    <row r="1051" spans="1:20" s="169" customFormat="1" ht="15" customHeight="1">
      <c r="A1051" s="23"/>
      <c r="B1051" s="23"/>
      <c r="C1051" s="940"/>
      <c r="D1051" s="32"/>
      <c r="E1051" s="918"/>
      <c r="F1051" s="918"/>
      <c r="G1051" s="1025"/>
      <c r="H1051" s="964"/>
      <c r="I1051" s="35"/>
      <c r="J1051" s="21"/>
      <c r="K1051" s="20"/>
      <c r="L1051" s="20"/>
      <c r="M1051" s="20"/>
      <c r="N1051" s="20"/>
      <c r="O1051" s="20"/>
      <c r="P1051" s="20"/>
      <c r="Q1051" s="20"/>
      <c r="R1051" s="171"/>
      <c r="S1051" s="168"/>
      <c r="T1051" s="7"/>
    </row>
    <row r="1052" spans="1:20" s="169" customFormat="1" ht="15" customHeight="1">
      <c r="A1052" s="23"/>
      <c r="B1052" s="23"/>
      <c r="C1052" s="993"/>
      <c r="D1052" s="32"/>
      <c r="E1052" s="503">
        <f>E1055</f>
        <v>3496606</v>
      </c>
      <c r="F1052" s="503">
        <f>F1055</f>
        <v>0</v>
      </c>
      <c r="G1052" s="1026"/>
      <c r="H1052" s="963"/>
      <c r="I1052" s="35"/>
      <c r="J1052" s="21"/>
      <c r="K1052" s="20"/>
      <c r="L1052" s="20"/>
      <c r="M1052" s="20"/>
      <c r="N1052" s="20"/>
      <c r="O1052" s="20"/>
      <c r="P1052" s="20"/>
      <c r="Q1052" s="20"/>
      <c r="R1052" s="171"/>
      <c r="S1052" s="168">
        <f>SUM(S1137)</f>
        <v>0</v>
      </c>
      <c r="T1052" s="168">
        <f>SUM(T1137)</f>
        <v>0</v>
      </c>
    </row>
    <row r="1053" spans="1:20" s="169" customFormat="1" ht="15" customHeight="1">
      <c r="A1053" s="23"/>
      <c r="B1053" s="23"/>
      <c r="C1053" s="173"/>
      <c r="D1053" s="943" t="s">
        <v>1010</v>
      </c>
      <c r="E1053" s="925">
        <v>0</v>
      </c>
      <c r="F1053" s="925">
        <f>S1137/1000</f>
        <v>0</v>
      </c>
      <c r="G1053" s="1027">
        <f>F1053+F1055-E1053-E1055</f>
        <v>-3496606</v>
      </c>
      <c r="H1053" s="997">
        <f>G1053/(E1053+E1055)</f>
        <v>-1</v>
      </c>
      <c r="I1053" s="106" t="s">
        <v>431</v>
      </c>
      <c r="J1053" s="156"/>
      <c r="K1053" s="311"/>
      <c r="L1053" s="311"/>
      <c r="M1053" s="311"/>
      <c r="N1053" s="311"/>
      <c r="O1053" s="311"/>
      <c r="P1053" s="311"/>
      <c r="Q1053" s="28"/>
      <c r="R1053" s="265"/>
      <c r="S1053" s="168"/>
      <c r="T1053" s="7"/>
    </row>
    <row r="1054" spans="1:20" s="169" customFormat="1" ht="15" customHeight="1">
      <c r="A1054" s="23"/>
      <c r="B1054" s="23"/>
      <c r="C1054" s="88"/>
      <c r="D1054" s="942"/>
      <c r="E1054" s="932"/>
      <c r="F1054" s="932"/>
      <c r="G1054" s="1028"/>
      <c r="H1054" s="998"/>
      <c r="I1054" s="35" t="s">
        <v>432</v>
      </c>
      <c r="J1054" s="63"/>
      <c r="K1054" s="220"/>
      <c r="L1054" s="224"/>
      <c r="M1054" s="220"/>
      <c r="N1054" s="220"/>
      <c r="O1054" s="224"/>
      <c r="P1054" s="220"/>
      <c r="Q1054" s="20"/>
      <c r="R1054" s="68"/>
      <c r="S1054" s="168"/>
      <c r="T1054" s="7"/>
    </row>
    <row r="1055" spans="1:20" s="169" customFormat="1" ht="15" customHeight="1">
      <c r="A1055" s="23"/>
      <c r="B1055" s="23"/>
      <c r="C1055" s="88"/>
      <c r="D1055" s="942"/>
      <c r="E1055" s="508">
        <v>3496606</v>
      </c>
      <c r="F1055" s="58">
        <f>T1137/1000</f>
        <v>0</v>
      </c>
      <c r="G1055" s="1028"/>
      <c r="H1055" s="998"/>
      <c r="I1055" s="31" t="s">
        <v>761</v>
      </c>
      <c r="J1055" s="63"/>
      <c r="K1055" s="220"/>
      <c r="L1055" s="224"/>
      <c r="M1055" s="220"/>
      <c r="N1055" s="220"/>
      <c r="O1055" s="224"/>
      <c r="P1055" s="220"/>
      <c r="Q1055" s="20"/>
      <c r="R1055" s="68"/>
      <c r="S1055" s="168"/>
      <c r="T1055" s="7"/>
    </row>
    <row r="1056" spans="1:20" s="169" customFormat="1" ht="15" customHeight="1">
      <c r="A1056" s="23"/>
      <c r="B1056" s="23"/>
      <c r="C1056" s="88"/>
      <c r="D1056" s="522"/>
      <c r="E1056" s="33"/>
      <c r="F1056" s="33"/>
      <c r="G1056" s="1028"/>
      <c r="H1056" s="998"/>
      <c r="I1056" s="31" t="s">
        <v>762</v>
      </c>
      <c r="J1056" s="63"/>
      <c r="K1056" s="220"/>
      <c r="L1056" s="224"/>
      <c r="M1056" s="220"/>
      <c r="N1056" s="220"/>
      <c r="O1056" s="224"/>
      <c r="P1056" s="220"/>
      <c r="Q1056" s="20"/>
      <c r="R1056" s="68"/>
      <c r="S1056" s="168"/>
      <c r="T1056" s="7"/>
    </row>
    <row r="1057" spans="1:20" s="169" customFormat="1" ht="15" customHeight="1">
      <c r="A1057" s="23"/>
      <c r="B1057" s="23"/>
      <c r="C1057" s="88"/>
      <c r="D1057" s="522"/>
      <c r="E1057" s="33"/>
      <c r="F1057" s="33"/>
      <c r="G1057" s="527"/>
      <c r="H1057" s="502"/>
      <c r="I1057" s="31"/>
      <c r="J1057" s="63"/>
      <c r="K1057" s="220"/>
      <c r="L1057" s="224"/>
      <c r="M1057" s="220"/>
      <c r="N1057" s="220"/>
      <c r="O1057" s="224"/>
      <c r="P1057" s="220"/>
      <c r="Q1057" s="20"/>
      <c r="R1057" s="68"/>
      <c r="S1057" s="168"/>
      <c r="T1057" s="7"/>
    </row>
    <row r="1058" spans="1:20" s="169" customFormat="1" ht="15" customHeight="1">
      <c r="A1058" s="23"/>
      <c r="B1058" s="23"/>
      <c r="C1058" s="242"/>
      <c r="D1058" s="242"/>
      <c r="E1058" s="242"/>
      <c r="F1058" s="242"/>
      <c r="G1058" s="240"/>
      <c r="H1058" s="240"/>
      <c r="I1058" s="35"/>
      <c r="J1058" s="63"/>
      <c r="K1058" s="220"/>
      <c r="L1058" s="220"/>
      <c r="M1058" s="220"/>
      <c r="N1058" s="220"/>
      <c r="O1058" s="220"/>
      <c r="P1058" s="220"/>
      <c r="Q1058" s="20"/>
      <c r="R1058" s="68"/>
      <c r="S1058" s="168"/>
      <c r="T1058" s="7"/>
    </row>
    <row r="1059" spans="1:20" s="169" customFormat="1" ht="15" customHeight="1">
      <c r="A1059" s="23"/>
      <c r="B1059" s="23"/>
      <c r="C1059" s="242"/>
      <c r="D1059" s="242"/>
      <c r="E1059" s="242"/>
      <c r="F1059" s="242"/>
      <c r="G1059" s="240"/>
      <c r="H1059" s="240"/>
      <c r="I1059" s="35" t="s">
        <v>433</v>
      </c>
      <c r="J1059" s="63"/>
      <c r="K1059" s="220"/>
      <c r="L1059" s="523"/>
      <c r="M1059" s="523"/>
      <c r="N1059" s="523"/>
      <c r="O1059" s="523"/>
      <c r="P1059" s="523"/>
      <c r="Q1059" s="20"/>
      <c r="R1059" s="68">
        <f>SUM(R1060:R1060)</f>
        <v>0</v>
      </c>
      <c r="S1059" s="168"/>
      <c r="T1059" s="7"/>
    </row>
    <row r="1060" spans="1:20" s="169" customFormat="1" ht="15" customHeight="1">
      <c r="A1060" s="23"/>
      <c r="B1060" s="23"/>
      <c r="C1060" s="242"/>
      <c r="D1060" s="242"/>
      <c r="E1060" s="242"/>
      <c r="F1060" s="242"/>
      <c r="G1060" s="240"/>
      <c r="H1060" s="240"/>
      <c r="I1060" s="35"/>
      <c r="J1060" s="63">
        <v>15989</v>
      </c>
      <c r="K1060" s="220" t="s">
        <v>20</v>
      </c>
      <c r="L1060" s="945" t="s">
        <v>763</v>
      </c>
      <c r="M1060" s="945"/>
      <c r="N1060" s="945"/>
      <c r="O1060" s="945"/>
      <c r="P1060" s="945"/>
      <c r="Q1060" s="20" t="s">
        <v>22</v>
      </c>
      <c r="R1060" s="68"/>
      <c r="S1060" s="168"/>
      <c r="T1060" s="7"/>
    </row>
    <row r="1061" spans="1:20" s="169" customFormat="1" ht="15" customHeight="1">
      <c r="A1061" s="23"/>
      <c r="B1061" s="23"/>
      <c r="C1061" s="242"/>
      <c r="D1061" s="242"/>
      <c r="E1061" s="242"/>
      <c r="F1061" s="242"/>
      <c r="G1061" s="240"/>
      <c r="H1061" s="240"/>
      <c r="I1061" s="35" t="s">
        <v>434</v>
      </c>
      <c r="J1061" s="63"/>
      <c r="K1061" s="220"/>
      <c r="L1061" s="220"/>
      <c r="M1061" s="220"/>
      <c r="N1061" s="220"/>
      <c r="O1061" s="220"/>
      <c r="P1061" s="220"/>
      <c r="Q1061" s="20"/>
      <c r="R1061" s="68">
        <f>SUM(R1062:R1065)</f>
        <v>0</v>
      </c>
      <c r="S1061" s="168"/>
      <c r="T1061" s="7"/>
    </row>
    <row r="1062" spans="1:20" s="169" customFormat="1" ht="15" customHeight="1">
      <c r="A1062" s="23"/>
      <c r="B1062" s="23"/>
      <c r="C1062" s="242"/>
      <c r="D1062" s="242"/>
      <c r="E1062" s="242"/>
      <c r="F1062" s="242"/>
      <c r="G1062" s="240"/>
      <c r="H1062" s="240"/>
      <c r="I1062" s="35" t="s">
        <v>435</v>
      </c>
      <c r="J1062" s="63">
        <f>R1054</f>
        <v>0</v>
      </c>
      <c r="K1062" s="220" t="s">
        <v>24</v>
      </c>
      <c r="L1062" s="312">
        <v>3.125E-2</v>
      </c>
      <c r="M1062" s="158"/>
      <c r="N1062" s="158"/>
      <c r="O1062" s="84"/>
      <c r="P1062" s="84"/>
      <c r="Q1062" s="20" t="s">
        <v>22</v>
      </c>
      <c r="R1062" s="68">
        <f>ROUND(J1062*L1062,-1)</f>
        <v>0</v>
      </c>
      <c r="S1062" s="168"/>
      <c r="T1062" s="7"/>
    </row>
    <row r="1063" spans="1:20" s="169" customFormat="1" ht="15" customHeight="1">
      <c r="A1063" s="23"/>
      <c r="B1063" s="23"/>
      <c r="C1063" s="242"/>
      <c r="D1063" s="242"/>
      <c r="E1063" s="242"/>
      <c r="F1063" s="242"/>
      <c r="G1063" s="240"/>
      <c r="H1063" s="240"/>
      <c r="I1063" s="35" t="s">
        <v>436</v>
      </c>
      <c r="J1063" s="63">
        <f>J1062</f>
        <v>0</v>
      </c>
      <c r="K1063" s="220" t="s">
        <v>24</v>
      </c>
      <c r="L1063" s="313">
        <v>4.4999999999999998E-2</v>
      </c>
      <c r="M1063" s="158"/>
      <c r="N1063" s="158"/>
      <c r="O1063" s="84"/>
      <c r="P1063" s="84"/>
      <c r="Q1063" s="20" t="s">
        <v>22</v>
      </c>
      <c r="R1063" s="68">
        <f>ROUND(J1063*L1063,-1)</f>
        <v>0</v>
      </c>
      <c r="S1063" s="168"/>
      <c r="T1063" s="7"/>
    </row>
    <row r="1064" spans="1:20" s="169" customFormat="1" ht="15" customHeight="1">
      <c r="A1064" s="23"/>
      <c r="B1064" s="23"/>
      <c r="C1064" s="242"/>
      <c r="D1064" s="242"/>
      <c r="E1064" s="242"/>
      <c r="F1064" s="242"/>
      <c r="G1064" s="240"/>
      <c r="H1064" s="240"/>
      <c r="I1064" s="35" t="s">
        <v>437</v>
      </c>
      <c r="J1064" s="63">
        <f>J1063</f>
        <v>0</v>
      </c>
      <c r="K1064" s="220" t="s">
        <v>20</v>
      </c>
      <c r="L1064" s="313">
        <v>1.55E-2</v>
      </c>
      <c r="M1064" s="158"/>
      <c r="N1064" s="158"/>
      <c r="O1064" s="84"/>
      <c r="P1064" s="84"/>
      <c r="Q1064" s="20" t="s">
        <v>22</v>
      </c>
      <c r="R1064" s="68">
        <f>ROUND(J1064*L1064,-1)</f>
        <v>0</v>
      </c>
      <c r="S1064" s="168"/>
      <c r="T1064" s="7"/>
    </row>
    <row r="1065" spans="1:20" s="169" customFormat="1" ht="15" customHeight="1">
      <c r="A1065" s="23"/>
      <c r="B1065" s="23"/>
      <c r="C1065" s="242"/>
      <c r="D1065" s="242"/>
      <c r="E1065" s="242"/>
      <c r="F1065" s="242"/>
      <c r="G1065" s="240"/>
      <c r="H1065" s="240"/>
      <c r="I1065" s="35" t="s">
        <v>438</v>
      </c>
      <c r="J1065" s="63">
        <f>J1064</f>
        <v>0</v>
      </c>
      <c r="K1065" s="220" t="s">
        <v>20</v>
      </c>
      <c r="L1065" s="313">
        <v>4.9000000000000002E-2</v>
      </c>
      <c r="M1065" s="158"/>
      <c r="N1065" s="158"/>
      <c r="O1065" s="84"/>
      <c r="P1065" s="84"/>
      <c r="Q1065" s="20" t="s">
        <v>395</v>
      </c>
      <c r="R1065" s="68">
        <f>ROUND(J1065*L1065,-1)</f>
        <v>0</v>
      </c>
      <c r="S1065" s="168"/>
      <c r="T1065" s="7"/>
    </row>
    <row r="1066" spans="1:20" s="169" customFormat="1" ht="15" customHeight="1">
      <c r="A1066" s="23"/>
      <c r="B1066" s="23"/>
      <c r="C1066" s="242"/>
      <c r="D1066" s="242"/>
      <c r="E1066" s="242"/>
      <c r="F1066" s="242"/>
      <c r="G1066" s="240"/>
      <c r="H1066" s="240"/>
      <c r="I1066" s="35" t="s">
        <v>439</v>
      </c>
      <c r="J1066" s="63">
        <f>J1065</f>
        <v>0</v>
      </c>
      <c r="K1066" s="220" t="s">
        <v>50</v>
      </c>
      <c r="L1066" s="945" t="s">
        <v>44</v>
      </c>
      <c r="M1066" s="945"/>
      <c r="N1066" s="220"/>
      <c r="O1066" s="220"/>
      <c r="P1066" s="220"/>
      <c r="Q1066" s="20" t="s">
        <v>43</v>
      </c>
      <c r="R1066" s="68">
        <f>ROUND(J1066/12,-1)</f>
        <v>0</v>
      </c>
      <c r="S1066" s="168"/>
      <c r="T1066" s="7"/>
    </row>
    <row r="1067" spans="1:20" s="169" customFormat="1" ht="15" customHeight="1">
      <c r="A1067" s="23"/>
      <c r="B1067" s="23"/>
      <c r="C1067" s="242"/>
      <c r="D1067" s="242"/>
      <c r="E1067" s="242"/>
      <c r="F1067" s="242"/>
      <c r="G1067" s="240"/>
      <c r="H1067" s="240"/>
      <c r="I1067" s="35" t="s">
        <v>440</v>
      </c>
      <c r="J1067" s="63">
        <v>0</v>
      </c>
      <c r="K1067" s="220" t="s">
        <v>50</v>
      </c>
      <c r="L1067" s="224">
        <v>2</v>
      </c>
      <c r="M1067" s="220" t="s">
        <v>69</v>
      </c>
      <c r="N1067" s="220" t="s">
        <v>50</v>
      </c>
      <c r="O1067" s="224">
        <v>12</v>
      </c>
      <c r="P1067" s="220" t="s">
        <v>19</v>
      </c>
      <c r="Q1067" s="20" t="s">
        <v>43</v>
      </c>
      <c r="R1067" s="68">
        <f>J1067*L1067*O1067</f>
        <v>0</v>
      </c>
      <c r="S1067" s="168"/>
      <c r="T1067" s="7"/>
    </row>
    <row r="1068" spans="1:20" s="169" customFormat="1" ht="15" customHeight="1">
      <c r="A1068" s="23"/>
      <c r="B1068" s="23"/>
      <c r="C1068" s="242"/>
      <c r="D1068" s="242"/>
      <c r="E1068" s="242"/>
      <c r="F1068" s="242"/>
      <c r="G1068" s="240"/>
      <c r="H1068" s="240"/>
      <c r="I1068" s="35" t="s">
        <v>441</v>
      </c>
      <c r="J1068" s="63">
        <v>44000</v>
      </c>
      <c r="K1068" s="220" t="s">
        <v>50</v>
      </c>
      <c r="L1068" s="224">
        <v>3</v>
      </c>
      <c r="M1068" s="220" t="s">
        <v>69</v>
      </c>
      <c r="N1068" s="220" t="s">
        <v>50</v>
      </c>
      <c r="O1068" s="224">
        <v>0</v>
      </c>
      <c r="P1068" s="220" t="s">
        <v>70</v>
      </c>
      <c r="Q1068" s="20" t="s">
        <v>43</v>
      </c>
      <c r="R1068" s="68">
        <f>J1068*L1068*O1068</f>
        <v>0</v>
      </c>
      <c r="S1068" s="168"/>
      <c r="T1068" s="7"/>
    </row>
    <row r="1069" spans="1:20" s="169" customFormat="1" ht="15" customHeight="1">
      <c r="A1069" s="23"/>
      <c r="B1069" s="23"/>
      <c r="C1069" s="242"/>
      <c r="D1069" s="242"/>
      <c r="E1069" s="242"/>
      <c r="F1069" s="242"/>
      <c r="G1069" s="240"/>
      <c r="H1069" s="240"/>
      <c r="I1069" s="35" t="s">
        <v>764</v>
      </c>
      <c r="J1069" s="63">
        <v>44000</v>
      </c>
      <c r="K1069" s="220" t="s">
        <v>50</v>
      </c>
      <c r="L1069" s="224">
        <v>2</v>
      </c>
      <c r="M1069" s="220" t="s">
        <v>69</v>
      </c>
      <c r="N1069" s="220" t="s">
        <v>50</v>
      </c>
      <c r="O1069" s="224">
        <v>0</v>
      </c>
      <c r="P1069" s="220" t="s">
        <v>70</v>
      </c>
      <c r="Q1069" s="20" t="s">
        <v>43</v>
      </c>
      <c r="R1069" s="68">
        <f>J1069*L1069*O1069</f>
        <v>0</v>
      </c>
      <c r="S1069" s="168"/>
      <c r="T1069" s="7"/>
    </row>
    <row r="1070" spans="1:20" s="169" customFormat="1" ht="15" customHeight="1">
      <c r="A1070" s="158"/>
      <c r="B1070" s="23"/>
      <c r="C1070" s="242"/>
      <c r="D1070" s="242"/>
      <c r="E1070" s="242"/>
      <c r="F1070" s="242"/>
      <c r="G1070" s="240"/>
      <c r="H1070" s="240"/>
      <c r="I1070" s="35"/>
      <c r="J1070" s="220"/>
      <c r="K1070" s="220"/>
      <c r="L1070" s="220"/>
      <c r="M1070" s="220"/>
      <c r="N1070" s="220"/>
      <c r="O1070" s="220"/>
      <c r="P1070" s="220"/>
      <c r="Q1070" s="20"/>
      <c r="R1070" s="68"/>
      <c r="S1070" s="168"/>
      <c r="T1070" s="7"/>
    </row>
    <row r="1071" spans="1:20" s="169" customFormat="1" ht="15" customHeight="1">
      <c r="A1071" s="23"/>
      <c r="B1071" s="23"/>
      <c r="C1071" s="242"/>
      <c r="D1071" s="242"/>
      <c r="E1071" s="242"/>
      <c r="F1071" s="242"/>
      <c r="G1071" s="240"/>
      <c r="H1071" s="240"/>
      <c r="I1071" s="35" t="s">
        <v>442</v>
      </c>
      <c r="J1071" s="220"/>
      <c r="K1071" s="220"/>
      <c r="L1071" s="220"/>
      <c r="M1071" s="220"/>
      <c r="N1071" s="220"/>
      <c r="O1071" s="220"/>
      <c r="P1071" s="220"/>
      <c r="Q1071" s="20"/>
      <c r="R1071" s="68"/>
      <c r="S1071" s="168"/>
      <c r="T1071" s="7"/>
    </row>
    <row r="1072" spans="1:20" s="169" customFormat="1" ht="15" customHeight="1">
      <c r="A1072" s="23"/>
      <c r="B1072" s="23"/>
      <c r="C1072" s="242"/>
      <c r="D1072" s="242"/>
      <c r="E1072" s="242"/>
      <c r="F1072" s="242"/>
      <c r="G1072" s="240"/>
      <c r="H1072" s="240"/>
      <c r="I1072" s="35" t="s">
        <v>443</v>
      </c>
      <c r="J1072" s="220"/>
      <c r="K1072" s="220"/>
      <c r="L1072" s="220"/>
      <c r="M1072" s="220"/>
      <c r="N1072" s="220"/>
      <c r="O1072" s="220"/>
      <c r="P1072" s="220"/>
      <c r="Q1072" s="20"/>
      <c r="R1072" s="68">
        <f>SUM(R1073:R1074)</f>
        <v>4254800</v>
      </c>
      <c r="S1072" s="168"/>
      <c r="T1072" s="7"/>
    </row>
    <row r="1073" spans="1:20" s="169" customFormat="1" ht="15" customHeight="1">
      <c r="A1073" s="23"/>
      <c r="B1073" s="23"/>
      <c r="C1073" s="242"/>
      <c r="D1073" s="242"/>
      <c r="E1073" s="242"/>
      <c r="F1073" s="242"/>
      <c r="G1073" s="240"/>
      <c r="H1073" s="240"/>
      <c r="I1073" s="35" t="s">
        <v>444</v>
      </c>
      <c r="J1073" s="21">
        <v>4400</v>
      </c>
      <c r="K1073" s="220" t="s">
        <v>50</v>
      </c>
      <c r="L1073" s="224">
        <v>5</v>
      </c>
      <c r="M1073" s="220" t="s">
        <v>218</v>
      </c>
      <c r="N1073" s="220" t="s">
        <v>50</v>
      </c>
      <c r="O1073" s="224">
        <v>2</v>
      </c>
      <c r="P1073" s="220" t="s">
        <v>19</v>
      </c>
      <c r="Q1073" s="20" t="s">
        <v>43</v>
      </c>
      <c r="R1073" s="68">
        <f>J1073*L1073*O1073</f>
        <v>44000</v>
      </c>
      <c r="S1073" s="168"/>
      <c r="T1073" s="7"/>
    </row>
    <row r="1074" spans="1:20" s="169" customFormat="1" ht="15" customHeight="1">
      <c r="A1074" s="23"/>
      <c r="B1074" s="23"/>
      <c r="C1074" s="242"/>
      <c r="D1074" s="242"/>
      <c r="E1074" s="242"/>
      <c r="F1074" s="242"/>
      <c r="G1074" s="240"/>
      <c r="H1074" s="240"/>
      <c r="I1074" s="35" t="s">
        <v>898</v>
      </c>
      <c r="J1074" s="21">
        <v>3190</v>
      </c>
      <c r="K1074" s="220" t="s">
        <v>50</v>
      </c>
      <c r="L1074" s="224">
        <v>110</v>
      </c>
      <c r="M1074" s="220" t="s">
        <v>120</v>
      </c>
      <c r="N1074" s="220" t="s">
        <v>50</v>
      </c>
      <c r="O1074" s="224">
        <v>12</v>
      </c>
      <c r="P1074" s="220" t="s">
        <v>19</v>
      </c>
      <c r="Q1074" s="20" t="s">
        <v>43</v>
      </c>
      <c r="R1074" s="68">
        <f>J1074*L1074*O1074</f>
        <v>4210800</v>
      </c>
      <c r="S1074" s="168"/>
      <c r="T1074" s="7"/>
    </row>
    <row r="1075" spans="1:20" s="169" customFormat="1" ht="15" customHeight="1">
      <c r="A1075" s="23"/>
      <c r="B1075" s="23"/>
      <c r="C1075" s="242"/>
      <c r="D1075" s="242"/>
      <c r="E1075" s="242"/>
      <c r="F1075" s="242"/>
      <c r="G1075" s="240"/>
      <c r="H1075" s="240"/>
      <c r="I1075" s="35" t="s">
        <v>445</v>
      </c>
      <c r="J1075" s="21">
        <v>3000</v>
      </c>
      <c r="K1075" s="220" t="s">
        <v>50</v>
      </c>
      <c r="L1075" s="224">
        <v>40</v>
      </c>
      <c r="M1075" s="220" t="s">
        <v>69</v>
      </c>
      <c r="N1075" s="220" t="s">
        <v>50</v>
      </c>
      <c r="O1075" s="224">
        <v>12</v>
      </c>
      <c r="P1075" s="220" t="s">
        <v>19</v>
      </c>
      <c r="Q1075" s="20" t="s">
        <v>43</v>
      </c>
      <c r="R1075" s="68">
        <f>J1075*L1075*O1075</f>
        <v>1440000</v>
      </c>
      <c r="S1075" s="168"/>
      <c r="T1075" s="7"/>
    </row>
    <row r="1076" spans="1:20" s="169" customFormat="1" ht="15" customHeight="1">
      <c r="A1076" s="23"/>
      <c r="B1076" s="88"/>
      <c r="C1076" s="242"/>
      <c r="D1076" s="242"/>
      <c r="E1076" s="242"/>
      <c r="F1076" s="242"/>
      <c r="G1076" s="240"/>
      <c r="H1076" s="240"/>
      <c r="I1076" s="35" t="s">
        <v>446</v>
      </c>
      <c r="J1076" s="21">
        <v>110000</v>
      </c>
      <c r="K1076" s="220" t="s">
        <v>50</v>
      </c>
      <c r="L1076" s="224">
        <v>1</v>
      </c>
      <c r="M1076" s="220" t="s">
        <v>70</v>
      </c>
      <c r="N1076" s="220" t="s">
        <v>50</v>
      </c>
      <c r="O1076" s="224">
        <v>12</v>
      </c>
      <c r="P1076" s="220" t="s">
        <v>19</v>
      </c>
      <c r="Q1076" s="20" t="s">
        <v>43</v>
      </c>
      <c r="R1076" s="68">
        <f>J1076*L1076*O1076</f>
        <v>1320000</v>
      </c>
      <c r="S1076" s="168"/>
      <c r="T1076" s="7"/>
    </row>
    <row r="1077" spans="1:20" s="169" customFormat="1" ht="15" customHeight="1">
      <c r="A1077" s="23"/>
      <c r="B1077" s="88"/>
      <c r="C1077" s="242"/>
      <c r="D1077" s="242"/>
      <c r="E1077" s="242"/>
      <c r="F1077" s="242"/>
      <c r="G1077" s="240"/>
      <c r="H1077" s="240"/>
      <c r="I1077" s="35" t="s">
        <v>447</v>
      </c>
      <c r="J1077" s="21">
        <v>2200</v>
      </c>
      <c r="K1077" s="220" t="s">
        <v>50</v>
      </c>
      <c r="L1077" s="224">
        <v>6</v>
      </c>
      <c r="M1077" s="220" t="s">
        <v>218</v>
      </c>
      <c r="N1077" s="220" t="s">
        <v>50</v>
      </c>
      <c r="O1077" s="224">
        <v>12</v>
      </c>
      <c r="P1077" s="220" t="s">
        <v>19</v>
      </c>
      <c r="Q1077" s="20" t="s">
        <v>43</v>
      </c>
      <c r="R1077" s="68">
        <f>J1077*L1077*O1077</f>
        <v>158400</v>
      </c>
      <c r="S1077" s="168"/>
      <c r="T1077" s="7"/>
    </row>
    <row r="1078" spans="1:20" s="169" customFormat="1" ht="15" customHeight="1">
      <c r="A1078" s="23"/>
      <c r="B1078" s="23"/>
      <c r="C1078" s="242"/>
      <c r="D1078" s="242"/>
      <c r="E1078" s="242"/>
      <c r="F1078" s="242"/>
      <c r="G1078" s="240"/>
      <c r="H1078" s="240"/>
      <c r="I1078" s="35"/>
      <c r="J1078" s="220"/>
      <c r="K1078" s="220"/>
      <c r="L1078" s="220"/>
      <c r="M1078" s="220"/>
      <c r="N1078" s="220"/>
      <c r="O1078" s="220"/>
      <c r="P1078" s="220"/>
      <c r="Q1078" s="20"/>
      <c r="R1078" s="68"/>
      <c r="S1078" s="168"/>
      <c r="T1078" s="7"/>
    </row>
    <row r="1079" spans="1:20" s="169" customFormat="1" ht="15" customHeight="1">
      <c r="A1079" s="23"/>
      <c r="B1079" s="23"/>
      <c r="C1079" s="242"/>
      <c r="D1079" s="242"/>
      <c r="E1079" s="242"/>
      <c r="F1079" s="242"/>
      <c r="G1079" s="240"/>
      <c r="H1079" s="240"/>
      <c r="I1079" s="35" t="s">
        <v>448</v>
      </c>
      <c r="J1079" s="220"/>
      <c r="K1079" s="220"/>
      <c r="L1079" s="220"/>
      <c r="M1079" s="220"/>
      <c r="N1079" s="220"/>
      <c r="O1079" s="220"/>
      <c r="P1079" s="220"/>
      <c r="Q1079" s="20"/>
      <c r="R1079" s="68"/>
      <c r="S1079" s="168"/>
      <c r="T1079" s="7"/>
    </row>
    <row r="1080" spans="1:20" s="169" customFormat="1" ht="15" customHeight="1">
      <c r="A1080" s="23"/>
      <c r="B1080" s="23"/>
      <c r="C1080" s="242"/>
      <c r="D1080" s="242"/>
      <c r="E1080" s="242"/>
      <c r="F1080" s="242"/>
      <c r="G1080" s="240"/>
      <c r="H1080" s="240"/>
      <c r="I1080" s="35" t="s">
        <v>449</v>
      </c>
      <c r="J1080" s="79">
        <v>10020</v>
      </c>
      <c r="K1080" s="20" t="s">
        <v>50</v>
      </c>
      <c r="L1080" s="946">
        <v>216000</v>
      </c>
      <c r="M1080" s="946"/>
      <c r="N1080" s="946"/>
      <c r="O1080" s="202" t="s">
        <v>394</v>
      </c>
      <c r="P1080" s="202"/>
      <c r="Q1080" s="202" t="s">
        <v>43</v>
      </c>
      <c r="R1080" s="68">
        <f>J1080*L1080</f>
        <v>2164320000</v>
      </c>
      <c r="S1080" s="168"/>
      <c r="T1080" s="7"/>
    </row>
    <row r="1081" spans="1:20" s="169" customFormat="1" ht="15" customHeight="1">
      <c r="A1081" s="23"/>
      <c r="B1081" s="23"/>
      <c r="C1081" s="242"/>
      <c r="D1081" s="242"/>
      <c r="E1081" s="242"/>
      <c r="F1081" s="242"/>
      <c r="G1081" s="240"/>
      <c r="H1081" s="240"/>
      <c r="I1081" s="35" t="s">
        <v>450</v>
      </c>
      <c r="J1081" s="314">
        <f>R1080</f>
        <v>2164320000</v>
      </c>
      <c r="K1081" s="20" t="s">
        <v>20</v>
      </c>
      <c r="L1081" s="127">
        <v>9.06</v>
      </c>
      <c r="M1081" s="202" t="s">
        <v>294</v>
      </c>
      <c r="N1081" s="202"/>
      <c r="O1081" s="202"/>
      <c r="P1081" s="202"/>
      <c r="Q1081" s="202" t="s">
        <v>22</v>
      </c>
      <c r="R1081" s="68">
        <f>J1081*L1081%</f>
        <v>196087392</v>
      </c>
      <c r="S1081" s="168"/>
      <c r="T1081" s="7"/>
    </row>
    <row r="1082" spans="1:20" s="169" customFormat="1" ht="15" customHeight="1">
      <c r="A1082" s="23"/>
      <c r="B1082" s="23"/>
      <c r="C1082" s="242"/>
      <c r="D1082" s="242"/>
      <c r="E1082" s="242"/>
      <c r="F1082" s="242"/>
      <c r="G1082" s="240"/>
      <c r="H1082" s="240"/>
      <c r="I1082" s="35" t="s">
        <v>451</v>
      </c>
      <c r="J1082" s="314">
        <f>R1080</f>
        <v>2164320000</v>
      </c>
      <c r="K1082" s="20" t="s">
        <v>24</v>
      </c>
      <c r="L1082" s="127">
        <v>12</v>
      </c>
      <c r="M1082" s="202" t="s">
        <v>34</v>
      </c>
      <c r="N1082" s="202"/>
      <c r="O1082" s="202"/>
      <c r="P1082" s="202"/>
      <c r="Q1082" s="202" t="s">
        <v>22</v>
      </c>
      <c r="R1082" s="68">
        <f>J1082/12</f>
        <v>180360000</v>
      </c>
      <c r="S1082" s="168"/>
      <c r="T1082" s="7"/>
    </row>
    <row r="1083" spans="1:20" s="169" customFormat="1" ht="15" customHeight="1">
      <c r="A1083" s="23"/>
      <c r="B1083" s="23"/>
      <c r="C1083" s="242"/>
      <c r="D1083" s="242"/>
      <c r="E1083" s="242"/>
      <c r="F1083" s="242"/>
      <c r="G1083" s="240"/>
      <c r="H1083" s="240"/>
      <c r="I1083" s="551" t="s">
        <v>452</v>
      </c>
      <c r="J1083" s="669">
        <v>5000000</v>
      </c>
      <c r="K1083" s="162" t="s">
        <v>24</v>
      </c>
      <c r="L1083" s="553">
        <v>1</v>
      </c>
      <c r="M1083" s="552" t="s">
        <v>25</v>
      </c>
      <c r="N1083" s="552"/>
      <c r="O1083" s="552"/>
      <c r="P1083" s="552"/>
      <c r="Q1083" s="552" t="s">
        <v>22</v>
      </c>
      <c r="R1083" s="670">
        <f>J1083*L1083</f>
        <v>5000000</v>
      </c>
      <c r="S1083" s="168"/>
      <c r="T1083" s="7"/>
    </row>
    <row r="1084" spans="1:20" s="169" customFormat="1" ht="15" customHeight="1">
      <c r="A1084" s="23"/>
      <c r="B1084" s="23"/>
      <c r="C1084" s="88"/>
      <c r="D1084" s="522"/>
      <c r="E1084" s="33"/>
      <c r="F1084" s="33"/>
      <c r="G1084" s="527"/>
      <c r="H1084" s="502"/>
      <c r="I1084" s="35" t="s">
        <v>453</v>
      </c>
      <c r="J1084" s="79">
        <v>20000</v>
      </c>
      <c r="K1084" s="20" t="s">
        <v>24</v>
      </c>
      <c r="L1084" s="224">
        <v>160</v>
      </c>
      <c r="M1084" s="220" t="s">
        <v>33</v>
      </c>
      <c r="N1084" s="220"/>
      <c r="O1084" s="220"/>
      <c r="P1084" s="220"/>
      <c r="Q1084" s="20" t="s">
        <v>22</v>
      </c>
      <c r="R1084" s="68">
        <f>J1084*L1084</f>
        <v>3200000</v>
      </c>
      <c r="S1084" s="168"/>
      <c r="T1084" s="7"/>
    </row>
    <row r="1085" spans="1:20" s="169" customFormat="1" ht="15" customHeight="1">
      <c r="A1085" s="23"/>
      <c r="B1085" s="23"/>
      <c r="C1085" s="88"/>
      <c r="D1085" s="88"/>
      <c r="E1085" s="33"/>
      <c r="F1085" s="33"/>
      <c r="G1085" s="527"/>
      <c r="H1085" s="502"/>
      <c r="I1085" s="20" t="s">
        <v>454</v>
      </c>
      <c r="J1085" s="79">
        <v>10000</v>
      </c>
      <c r="K1085" s="20" t="s">
        <v>24</v>
      </c>
      <c r="L1085" s="224">
        <v>160</v>
      </c>
      <c r="M1085" s="220" t="s">
        <v>33</v>
      </c>
      <c r="N1085" s="220"/>
      <c r="O1085" s="220"/>
      <c r="P1085" s="220"/>
      <c r="Q1085" s="20" t="s">
        <v>22</v>
      </c>
      <c r="R1085" s="68">
        <f>J1085*L1085</f>
        <v>1600000</v>
      </c>
      <c r="S1085" s="168"/>
      <c r="T1085" s="7"/>
    </row>
    <row r="1086" spans="1:20" s="169" customFormat="1" ht="15" customHeight="1">
      <c r="A1086" s="23"/>
      <c r="B1086" s="23"/>
      <c r="C1086" s="88"/>
      <c r="D1086" s="522"/>
      <c r="E1086" s="33"/>
      <c r="F1086" s="33"/>
      <c r="G1086" s="527"/>
      <c r="H1086" s="502"/>
      <c r="I1086" s="20" t="s">
        <v>723</v>
      </c>
      <c r="J1086" s="79">
        <v>3000</v>
      </c>
      <c r="K1086" s="20" t="s">
        <v>24</v>
      </c>
      <c r="L1086" s="224">
        <v>160</v>
      </c>
      <c r="M1086" s="220" t="s">
        <v>33</v>
      </c>
      <c r="N1086" s="220" t="s">
        <v>24</v>
      </c>
      <c r="O1086" s="224">
        <v>3</v>
      </c>
      <c r="P1086" s="220" t="s">
        <v>25</v>
      </c>
      <c r="Q1086" s="20" t="s">
        <v>22</v>
      </c>
      <c r="R1086" s="68">
        <f>J1086*L1086*O1086</f>
        <v>1440000</v>
      </c>
      <c r="S1086" s="168"/>
      <c r="T1086" s="7"/>
    </row>
    <row r="1087" spans="1:20" s="169" customFormat="1" ht="15" customHeight="1">
      <c r="A1087" s="23"/>
      <c r="B1087" s="23"/>
      <c r="C1087" s="88"/>
      <c r="D1087" s="522"/>
      <c r="E1087" s="33"/>
      <c r="F1087" s="33"/>
      <c r="G1087" s="527"/>
      <c r="H1087" s="502"/>
      <c r="I1087" s="20" t="s">
        <v>724</v>
      </c>
      <c r="J1087" s="79">
        <v>8350</v>
      </c>
      <c r="K1087" s="20" t="s">
        <v>24</v>
      </c>
      <c r="L1087" s="224">
        <v>160</v>
      </c>
      <c r="M1087" s="220" t="s">
        <v>33</v>
      </c>
      <c r="N1087" s="220" t="s">
        <v>24</v>
      </c>
      <c r="O1087" s="224">
        <v>4</v>
      </c>
      <c r="P1087" s="220" t="s">
        <v>151</v>
      </c>
      <c r="Q1087" s="20" t="s">
        <v>22</v>
      </c>
      <c r="R1087" s="68">
        <f>J1087*L1087*O1087</f>
        <v>5344000</v>
      </c>
      <c r="S1087" s="168"/>
      <c r="T1087" s="7"/>
    </row>
    <row r="1088" spans="1:20" s="169" customFormat="1" ht="15" customHeight="1">
      <c r="A1088" s="23"/>
      <c r="B1088" s="23"/>
      <c r="C1088" s="88"/>
      <c r="D1088" s="646"/>
      <c r="E1088" s="33"/>
      <c r="F1088" s="33"/>
      <c r="G1088" s="660"/>
      <c r="H1088" s="658"/>
      <c r="I1088" s="20"/>
      <c r="J1088" s="79">
        <v>8350</v>
      </c>
      <c r="K1088" s="20" t="s">
        <v>20</v>
      </c>
      <c r="L1088" s="224">
        <v>160</v>
      </c>
      <c r="M1088" s="220" t="s">
        <v>33</v>
      </c>
      <c r="N1088" s="220" t="s">
        <v>20</v>
      </c>
      <c r="O1088" s="224">
        <v>3</v>
      </c>
      <c r="P1088" s="220" t="s">
        <v>151</v>
      </c>
      <c r="Q1088" s="20" t="s">
        <v>22</v>
      </c>
      <c r="R1088" s="68">
        <f>J1088*L1088*O1088</f>
        <v>4008000</v>
      </c>
      <c r="S1088" s="168"/>
      <c r="T1088" s="7"/>
    </row>
    <row r="1089" spans="1:20" s="169" customFormat="1" ht="15" customHeight="1">
      <c r="A1089" s="23"/>
      <c r="B1089" s="23"/>
      <c r="C1089" s="88"/>
      <c r="D1089" s="646"/>
      <c r="E1089" s="33"/>
      <c r="F1089" s="33"/>
      <c r="G1089" s="660"/>
      <c r="H1089" s="658"/>
      <c r="I1089" s="20" t="s">
        <v>900</v>
      </c>
      <c r="J1089" s="79">
        <v>100000</v>
      </c>
      <c r="K1089" s="20" t="s">
        <v>20</v>
      </c>
      <c r="L1089" s="224">
        <v>1</v>
      </c>
      <c r="M1089" s="220" t="s">
        <v>25</v>
      </c>
      <c r="N1089" s="220" t="s">
        <v>20</v>
      </c>
      <c r="O1089" s="224">
        <v>1</v>
      </c>
      <c r="P1089" s="220" t="s">
        <v>151</v>
      </c>
      <c r="Q1089" s="20" t="s">
        <v>22</v>
      </c>
      <c r="R1089" s="68">
        <f>J1089*L1089*O1089</f>
        <v>100000</v>
      </c>
      <c r="S1089" s="168"/>
      <c r="T1089" s="7"/>
    </row>
    <row r="1090" spans="1:20" s="169" customFormat="1" ht="15" customHeight="1">
      <c r="A1090" s="23"/>
      <c r="B1090" s="23"/>
      <c r="C1090" s="88"/>
      <c r="D1090" s="522"/>
      <c r="E1090" s="33"/>
      <c r="F1090" s="33"/>
      <c r="G1090" s="527"/>
      <c r="H1090" s="502"/>
      <c r="I1090" s="20" t="s">
        <v>899</v>
      </c>
      <c r="J1090" s="79">
        <v>50000</v>
      </c>
      <c r="K1090" s="20" t="s">
        <v>24</v>
      </c>
      <c r="L1090" s="224">
        <v>160</v>
      </c>
      <c r="M1090" s="220" t="s">
        <v>33</v>
      </c>
      <c r="N1090" s="220" t="s">
        <v>24</v>
      </c>
      <c r="O1090" s="224">
        <v>2</v>
      </c>
      <c r="P1090" s="220" t="s">
        <v>25</v>
      </c>
      <c r="Q1090" s="20" t="s">
        <v>22</v>
      </c>
      <c r="R1090" s="68">
        <f>J1090*L1090*O1090</f>
        <v>16000000</v>
      </c>
      <c r="S1090" s="168"/>
      <c r="T1090" s="7"/>
    </row>
    <row r="1091" spans="1:20" s="169" customFormat="1" ht="15" customHeight="1">
      <c r="A1091" s="23"/>
      <c r="B1091" s="23"/>
      <c r="C1091" s="88"/>
      <c r="D1091" s="522"/>
      <c r="E1091" s="33"/>
      <c r="F1091" s="33"/>
      <c r="G1091" s="527"/>
      <c r="H1091" s="502"/>
      <c r="I1091" s="20"/>
      <c r="J1091" s="314"/>
      <c r="K1091" s="20"/>
      <c r="L1091" s="220"/>
      <c r="M1091" s="220"/>
      <c r="N1091" s="220"/>
      <c r="O1091" s="220"/>
      <c r="P1091" s="220"/>
      <c r="Q1091" s="20"/>
      <c r="R1091" s="68"/>
      <c r="S1091" s="168"/>
      <c r="T1091" s="7"/>
    </row>
    <row r="1092" spans="1:20" s="169" customFormat="1" ht="15" hidden="1" customHeight="1">
      <c r="A1092" s="23"/>
      <c r="B1092" s="23"/>
      <c r="C1092" s="88"/>
      <c r="D1092" s="522"/>
      <c r="E1092" s="33"/>
      <c r="F1092" s="33"/>
      <c r="G1092" s="527"/>
      <c r="H1092" s="502"/>
      <c r="I1092" s="20" t="s">
        <v>455</v>
      </c>
      <c r="J1092" s="314"/>
      <c r="K1092" s="20"/>
      <c r="L1092" s="220"/>
      <c r="M1092" s="220"/>
      <c r="N1092" s="220"/>
      <c r="O1092" s="220"/>
      <c r="P1092" s="220"/>
      <c r="Q1092" s="20"/>
      <c r="R1092" s="68"/>
      <c r="S1092" s="168"/>
      <c r="T1092" s="7"/>
    </row>
    <row r="1093" spans="1:20" s="169" customFormat="1" ht="15" hidden="1" customHeight="1">
      <c r="A1093" s="23"/>
      <c r="B1093" s="23"/>
      <c r="C1093" s="88"/>
      <c r="D1093" s="522"/>
      <c r="E1093" s="33"/>
      <c r="F1093" s="33"/>
      <c r="G1093" s="527"/>
      <c r="H1093" s="502"/>
      <c r="I1093" s="20" t="s">
        <v>456</v>
      </c>
      <c r="J1093" s="79">
        <v>100000</v>
      </c>
      <c r="K1093" s="20" t="s">
        <v>24</v>
      </c>
      <c r="L1093" s="224">
        <v>0</v>
      </c>
      <c r="M1093" s="220" t="s">
        <v>25</v>
      </c>
      <c r="N1093" s="220"/>
      <c r="O1093" s="220"/>
      <c r="P1093" s="220"/>
      <c r="Q1093" s="20" t="s">
        <v>22</v>
      </c>
      <c r="R1093" s="68">
        <f>J1093*L1093</f>
        <v>0</v>
      </c>
      <c r="S1093" s="168"/>
      <c r="T1093" s="7"/>
    </row>
    <row r="1094" spans="1:20" s="169" customFormat="1" ht="15" hidden="1" customHeight="1">
      <c r="A1094" s="23"/>
      <c r="B1094" s="23"/>
      <c r="C1094" s="88"/>
      <c r="D1094" s="522"/>
      <c r="E1094" s="33"/>
      <c r="F1094" s="33"/>
      <c r="G1094" s="527"/>
      <c r="H1094" s="502"/>
      <c r="I1094" s="20" t="s">
        <v>457</v>
      </c>
      <c r="J1094" s="79">
        <v>100000</v>
      </c>
      <c r="K1094" s="20" t="s">
        <v>24</v>
      </c>
      <c r="L1094" s="224">
        <v>0</v>
      </c>
      <c r="M1094" s="220" t="s">
        <v>458</v>
      </c>
      <c r="N1094" s="220" t="s">
        <v>24</v>
      </c>
      <c r="O1094" s="224">
        <v>0</v>
      </c>
      <c r="P1094" s="220" t="s">
        <v>25</v>
      </c>
      <c r="Q1094" s="20" t="s">
        <v>22</v>
      </c>
      <c r="R1094" s="68">
        <f>J1094*L1094*O1094</f>
        <v>0</v>
      </c>
      <c r="S1094" s="168"/>
      <c r="T1094" s="7"/>
    </row>
    <row r="1095" spans="1:20" s="169" customFormat="1" ht="15" hidden="1" customHeight="1">
      <c r="A1095" s="23"/>
      <c r="B1095" s="23"/>
      <c r="C1095" s="88"/>
      <c r="D1095" s="522"/>
      <c r="E1095" s="33"/>
      <c r="F1095" s="33"/>
      <c r="G1095" s="527"/>
      <c r="H1095" s="502"/>
      <c r="I1095" s="20" t="s">
        <v>355</v>
      </c>
      <c r="J1095" s="79">
        <v>30000</v>
      </c>
      <c r="K1095" s="20" t="s">
        <v>24</v>
      </c>
      <c r="L1095" s="224">
        <v>0</v>
      </c>
      <c r="M1095" s="220" t="s">
        <v>33</v>
      </c>
      <c r="N1095" s="220" t="s">
        <v>24</v>
      </c>
      <c r="O1095" s="224">
        <v>1</v>
      </c>
      <c r="P1095" s="220" t="s">
        <v>25</v>
      </c>
      <c r="Q1095" s="20" t="s">
        <v>22</v>
      </c>
      <c r="R1095" s="68">
        <f>J1095*L1095*O1095</f>
        <v>0</v>
      </c>
      <c r="S1095" s="168"/>
      <c r="T1095" s="7"/>
    </row>
    <row r="1096" spans="1:20" s="169" customFormat="1" ht="15" hidden="1" customHeight="1">
      <c r="A1096" s="23"/>
      <c r="B1096" s="23"/>
      <c r="C1096" s="88"/>
      <c r="D1096" s="522"/>
      <c r="E1096" s="33"/>
      <c r="F1096" s="33"/>
      <c r="G1096" s="527"/>
      <c r="H1096" s="502"/>
      <c r="I1096" s="20" t="s">
        <v>460</v>
      </c>
      <c r="J1096" s="79">
        <v>33000</v>
      </c>
      <c r="K1096" s="20" t="s">
        <v>24</v>
      </c>
      <c r="L1096" s="224">
        <v>0</v>
      </c>
      <c r="M1096" s="220" t="s">
        <v>33</v>
      </c>
      <c r="N1096" s="220" t="s">
        <v>24</v>
      </c>
      <c r="O1096" s="224">
        <v>0</v>
      </c>
      <c r="P1096" s="220" t="s">
        <v>25</v>
      </c>
      <c r="Q1096" s="20" t="s">
        <v>22</v>
      </c>
      <c r="R1096" s="68">
        <f>J1096*L1096*O1096</f>
        <v>0</v>
      </c>
      <c r="S1096" s="168"/>
      <c r="T1096" s="7"/>
    </row>
    <row r="1097" spans="1:20" s="169" customFormat="1" ht="15" hidden="1" customHeight="1">
      <c r="A1097" s="23"/>
      <c r="B1097" s="23"/>
      <c r="C1097" s="88"/>
      <c r="D1097" s="522"/>
      <c r="E1097" s="33"/>
      <c r="F1097" s="33"/>
      <c r="G1097" s="527"/>
      <c r="H1097" s="502"/>
      <c r="I1097" s="20" t="s">
        <v>461</v>
      </c>
      <c r="J1097" s="79">
        <v>100000</v>
      </c>
      <c r="K1097" s="20" t="s">
        <v>24</v>
      </c>
      <c r="L1097" s="224">
        <v>0</v>
      </c>
      <c r="M1097" s="220" t="s">
        <v>25</v>
      </c>
      <c r="N1097" s="220"/>
      <c r="O1097" s="220"/>
      <c r="P1097" s="220"/>
      <c r="Q1097" s="20" t="s">
        <v>22</v>
      </c>
      <c r="R1097" s="68">
        <f>J1097*L1097</f>
        <v>0</v>
      </c>
      <c r="S1097" s="168"/>
      <c r="T1097" s="7"/>
    </row>
    <row r="1098" spans="1:20" s="169" customFormat="1" ht="15" hidden="1" customHeight="1">
      <c r="A1098" s="23"/>
      <c r="B1098" s="23"/>
      <c r="C1098" s="88"/>
      <c r="D1098" s="522"/>
      <c r="E1098" s="33"/>
      <c r="F1098" s="33"/>
      <c r="G1098" s="527"/>
      <c r="H1098" s="502"/>
      <c r="I1098" s="20" t="s">
        <v>708</v>
      </c>
      <c r="J1098" s="79">
        <v>15000</v>
      </c>
      <c r="K1098" s="20" t="s">
        <v>24</v>
      </c>
      <c r="L1098" s="224">
        <v>0</v>
      </c>
      <c r="M1098" s="220" t="s">
        <v>33</v>
      </c>
      <c r="N1098" s="220" t="s">
        <v>24</v>
      </c>
      <c r="O1098" s="224">
        <v>1</v>
      </c>
      <c r="P1098" s="220" t="s">
        <v>240</v>
      </c>
      <c r="Q1098" s="20" t="s">
        <v>22</v>
      </c>
      <c r="R1098" s="68">
        <f>J1098*L1098*O1098</f>
        <v>0</v>
      </c>
      <c r="S1098" s="168"/>
      <c r="T1098" s="7"/>
    </row>
    <row r="1099" spans="1:20" s="169" customFormat="1" ht="15" hidden="1" customHeight="1">
      <c r="A1099" s="23"/>
      <c r="B1099" s="23"/>
      <c r="C1099" s="88"/>
      <c r="D1099" s="522"/>
      <c r="E1099" s="33"/>
      <c r="F1099" s="33"/>
      <c r="G1099" s="527"/>
      <c r="H1099" s="502"/>
      <c r="I1099" s="20" t="s">
        <v>351</v>
      </c>
      <c r="J1099" s="79">
        <v>8000</v>
      </c>
      <c r="K1099" s="20" t="s">
        <v>24</v>
      </c>
      <c r="L1099" s="224">
        <v>0</v>
      </c>
      <c r="M1099" s="220" t="s">
        <v>33</v>
      </c>
      <c r="N1099" s="220" t="s">
        <v>24</v>
      </c>
      <c r="O1099" s="224">
        <v>1</v>
      </c>
      <c r="P1099" s="220" t="s">
        <v>25</v>
      </c>
      <c r="Q1099" s="20" t="s">
        <v>22</v>
      </c>
      <c r="R1099" s="68">
        <f>J1099*L1099*O1099</f>
        <v>0</v>
      </c>
      <c r="S1099" s="168"/>
      <c r="T1099" s="7"/>
    </row>
    <row r="1100" spans="1:20" s="169" customFormat="1" ht="15" hidden="1" customHeight="1">
      <c r="A1100" s="23"/>
      <c r="B1100" s="23"/>
      <c r="C1100" s="88"/>
      <c r="D1100" s="522"/>
      <c r="E1100" s="33"/>
      <c r="F1100" s="33"/>
      <c r="G1100" s="527"/>
      <c r="H1100" s="502"/>
      <c r="I1100" s="20" t="s">
        <v>725</v>
      </c>
      <c r="J1100" s="79">
        <v>30000</v>
      </c>
      <c r="K1100" s="20" t="s">
        <v>24</v>
      </c>
      <c r="L1100" s="224">
        <v>0</v>
      </c>
      <c r="M1100" s="220" t="s">
        <v>33</v>
      </c>
      <c r="N1100" s="220" t="s">
        <v>24</v>
      </c>
      <c r="O1100" s="224">
        <v>1</v>
      </c>
      <c r="P1100" s="220" t="s">
        <v>25</v>
      </c>
      <c r="Q1100" s="20" t="s">
        <v>22</v>
      </c>
      <c r="R1100" s="68">
        <f>J1100*L1100*O1100</f>
        <v>0</v>
      </c>
      <c r="S1100" s="168"/>
      <c r="T1100" s="7"/>
    </row>
    <row r="1101" spans="1:20" s="169" customFormat="1" ht="15" hidden="1" customHeight="1">
      <c r="A1101" s="23"/>
      <c r="B1101" s="23"/>
      <c r="C1101" s="88"/>
      <c r="D1101" s="522"/>
      <c r="E1101" s="33"/>
      <c r="F1101" s="33"/>
      <c r="G1101" s="527"/>
      <c r="H1101" s="502"/>
      <c r="I1101" s="20" t="s">
        <v>726</v>
      </c>
      <c r="J1101" s="79">
        <v>50000</v>
      </c>
      <c r="K1101" s="20" t="s">
        <v>24</v>
      </c>
      <c r="L1101" s="224">
        <v>0</v>
      </c>
      <c r="M1101" s="220" t="s">
        <v>25</v>
      </c>
      <c r="N1101" s="220"/>
      <c r="O1101" s="220"/>
      <c r="P1101" s="220"/>
      <c r="Q1101" s="20" t="s">
        <v>22</v>
      </c>
      <c r="R1101" s="68">
        <f>J1101*L1101</f>
        <v>0</v>
      </c>
      <c r="S1101" s="168"/>
      <c r="T1101" s="7"/>
    </row>
    <row r="1102" spans="1:20" s="169" customFormat="1" ht="15" hidden="1" customHeight="1">
      <c r="A1102" s="23"/>
      <c r="B1102" s="23"/>
      <c r="C1102" s="88"/>
      <c r="D1102" s="522"/>
      <c r="E1102" s="33"/>
      <c r="F1102" s="33"/>
      <c r="G1102" s="527"/>
      <c r="H1102" s="502"/>
      <c r="I1102" s="20" t="s">
        <v>727</v>
      </c>
      <c r="J1102" s="79">
        <v>30000</v>
      </c>
      <c r="K1102" s="20" t="s">
        <v>24</v>
      </c>
      <c r="L1102" s="224">
        <v>0</v>
      </c>
      <c r="M1102" s="220" t="s">
        <v>25</v>
      </c>
      <c r="N1102" s="220"/>
      <c r="O1102" s="220"/>
      <c r="P1102" s="220"/>
      <c r="Q1102" s="20" t="s">
        <v>22</v>
      </c>
      <c r="R1102" s="68">
        <f>J1102*L1102</f>
        <v>0</v>
      </c>
      <c r="S1102" s="168"/>
      <c r="T1102" s="7"/>
    </row>
    <row r="1103" spans="1:20" s="169" customFormat="1" ht="15" hidden="1" customHeight="1">
      <c r="A1103" s="23"/>
      <c r="B1103" s="23"/>
      <c r="C1103" s="88"/>
      <c r="D1103" s="522"/>
      <c r="E1103" s="33"/>
      <c r="F1103" s="33"/>
      <c r="G1103" s="527"/>
      <c r="H1103" s="502"/>
      <c r="I1103" s="20"/>
      <c r="J1103" s="79"/>
      <c r="K1103" s="20"/>
      <c r="L1103" s="220"/>
      <c r="M1103" s="220"/>
      <c r="N1103" s="220"/>
      <c r="O1103" s="220"/>
      <c r="P1103" s="220"/>
      <c r="Q1103" s="20"/>
      <c r="R1103" s="68"/>
      <c r="S1103" s="168"/>
      <c r="T1103" s="7"/>
    </row>
    <row r="1104" spans="1:20" s="169" customFormat="1" ht="15" customHeight="1">
      <c r="A1104" s="23"/>
      <c r="B1104" s="23"/>
      <c r="C1104" s="88"/>
      <c r="D1104" s="522"/>
      <c r="E1104" s="33"/>
      <c r="F1104" s="33"/>
      <c r="G1104" s="527"/>
      <c r="H1104" s="502"/>
      <c r="I1104" s="20" t="s">
        <v>463</v>
      </c>
      <c r="J1104" s="220"/>
      <c r="K1104" s="220"/>
      <c r="L1104" s="220"/>
      <c r="M1104" s="220"/>
      <c r="N1104" s="220"/>
      <c r="O1104" s="220"/>
      <c r="P1104" s="220"/>
      <c r="Q1104" s="20"/>
      <c r="R1104" s="68"/>
      <c r="S1104" s="168"/>
      <c r="T1104" s="7"/>
    </row>
    <row r="1105" spans="1:20" s="169" customFormat="1" ht="15" customHeight="1">
      <c r="A1105" s="23"/>
      <c r="B1105" s="23"/>
      <c r="C1105" s="88"/>
      <c r="D1105" s="522"/>
      <c r="E1105" s="33"/>
      <c r="F1105" s="33"/>
      <c r="G1105" s="540"/>
      <c r="H1105" s="502"/>
      <c r="I1105" s="20" t="s">
        <v>340</v>
      </c>
      <c r="J1105" s="79">
        <v>40000</v>
      </c>
      <c r="K1105" s="20" t="s">
        <v>24</v>
      </c>
      <c r="L1105" s="20">
        <v>160</v>
      </c>
      <c r="M1105" s="90" t="s">
        <v>33</v>
      </c>
      <c r="N1105" s="220" t="s">
        <v>24</v>
      </c>
      <c r="O1105" s="20">
        <v>1</v>
      </c>
      <c r="P1105" s="20" t="s">
        <v>25</v>
      </c>
      <c r="Q1105" s="20" t="s">
        <v>22</v>
      </c>
      <c r="R1105" s="68">
        <f>J1105*L1105*O1105</f>
        <v>6400000</v>
      </c>
      <c r="S1105" s="168"/>
      <c r="T1105" s="7"/>
    </row>
    <row r="1106" spans="1:20" s="169" customFormat="1" ht="15" customHeight="1">
      <c r="A1106" s="23"/>
      <c r="B1106" s="23"/>
      <c r="C1106" s="88"/>
      <c r="D1106" s="522"/>
      <c r="E1106" s="33"/>
      <c r="F1106" s="33"/>
      <c r="G1106" s="527"/>
      <c r="H1106" s="502"/>
      <c r="I1106" s="20" t="s">
        <v>464</v>
      </c>
      <c r="J1106" s="79">
        <v>100000</v>
      </c>
      <c r="K1106" s="20" t="s">
        <v>24</v>
      </c>
      <c r="L1106" s="224">
        <v>15</v>
      </c>
      <c r="M1106" s="220" t="s">
        <v>33</v>
      </c>
      <c r="N1106" s="220"/>
      <c r="O1106" s="220"/>
      <c r="P1106" s="220" t="s">
        <v>25</v>
      </c>
      <c r="Q1106" s="20" t="s">
        <v>22</v>
      </c>
      <c r="R1106" s="68">
        <f>J1106*L1106</f>
        <v>1500000</v>
      </c>
      <c r="S1106" s="168"/>
      <c r="T1106" s="7"/>
    </row>
    <row r="1107" spans="1:20" s="169" customFormat="1" ht="15" customHeight="1">
      <c r="A1107" s="23"/>
      <c r="B1107" s="23"/>
      <c r="C1107" s="88"/>
      <c r="D1107" s="522"/>
      <c r="E1107" s="33"/>
      <c r="F1107" s="33"/>
      <c r="G1107" s="527"/>
      <c r="H1107" s="502"/>
      <c r="I1107" s="20" t="s">
        <v>465</v>
      </c>
      <c r="J1107" s="79">
        <v>50000</v>
      </c>
      <c r="K1107" s="20" t="s">
        <v>24</v>
      </c>
      <c r="L1107" s="224">
        <v>5</v>
      </c>
      <c r="M1107" s="220" t="s">
        <v>33</v>
      </c>
      <c r="N1107" s="220"/>
      <c r="O1107" s="220"/>
      <c r="P1107" s="220"/>
      <c r="Q1107" s="20" t="s">
        <v>22</v>
      </c>
      <c r="R1107" s="68">
        <f>J1107*L1107</f>
        <v>250000</v>
      </c>
      <c r="S1107" s="168"/>
      <c r="T1107" s="7"/>
    </row>
    <row r="1108" spans="1:20" s="169" customFormat="1" ht="15" customHeight="1">
      <c r="A1108" s="23"/>
      <c r="B1108" s="23"/>
      <c r="C1108" s="88"/>
      <c r="D1108" s="646"/>
      <c r="E1108" s="33"/>
      <c r="F1108" s="33"/>
      <c r="G1108" s="660"/>
      <c r="H1108" s="658"/>
      <c r="I1108" s="20"/>
      <c r="J1108" s="79">
        <v>30000</v>
      </c>
      <c r="K1108" s="20" t="s">
        <v>20</v>
      </c>
      <c r="L1108" s="224">
        <v>5</v>
      </c>
      <c r="M1108" s="220" t="s">
        <v>33</v>
      </c>
      <c r="N1108" s="220"/>
      <c r="O1108" s="220"/>
      <c r="P1108" s="220"/>
      <c r="Q1108" s="20" t="s">
        <v>22</v>
      </c>
      <c r="R1108" s="68">
        <f>J1108*L1108</f>
        <v>150000</v>
      </c>
      <c r="S1108" s="168"/>
      <c r="T1108" s="7"/>
    </row>
    <row r="1109" spans="1:20" s="169" customFormat="1" ht="15" customHeight="1">
      <c r="A1109" s="23"/>
      <c r="B1109" s="23"/>
      <c r="C1109" s="88"/>
      <c r="D1109" s="522"/>
      <c r="E1109" s="33"/>
      <c r="F1109" s="33"/>
      <c r="G1109" s="527"/>
      <c r="H1109" s="502"/>
      <c r="I1109" s="20" t="s">
        <v>901</v>
      </c>
      <c r="J1109" s="79">
        <v>10000</v>
      </c>
      <c r="K1109" s="20" t="s">
        <v>24</v>
      </c>
      <c r="L1109" s="224">
        <v>200</v>
      </c>
      <c r="M1109" s="220" t="s">
        <v>180</v>
      </c>
      <c r="N1109" s="220"/>
      <c r="O1109" s="220"/>
      <c r="P1109" s="220"/>
      <c r="Q1109" s="20" t="s">
        <v>22</v>
      </c>
      <c r="R1109" s="68">
        <f>J1109*L1109</f>
        <v>2000000</v>
      </c>
      <c r="S1109" s="168"/>
      <c r="T1109" s="7"/>
    </row>
    <row r="1110" spans="1:20" s="169" customFormat="1" ht="15" customHeight="1">
      <c r="A1110" s="23"/>
      <c r="B1110" s="23"/>
      <c r="C1110" s="88"/>
      <c r="D1110" s="522"/>
      <c r="E1110" s="33"/>
      <c r="F1110" s="33"/>
      <c r="G1110" s="527"/>
      <c r="H1110" s="502"/>
      <c r="I1110" s="20" t="s">
        <v>466</v>
      </c>
      <c r="J1110" s="79">
        <v>250000</v>
      </c>
      <c r="K1110" s="20" t="s">
        <v>24</v>
      </c>
      <c r="L1110" s="224">
        <v>2</v>
      </c>
      <c r="M1110" s="220" t="s">
        <v>260</v>
      </c>
      <c r="N1110" s="220"/>
      <c r="O1110" s="220"/>
      <c r="P1110" s="220"/>
      <c r="Q1110" s="20" t="s">
        <v>22</v>
      </c>
      <c r="R1110" s="68">
        <f>J1110*L1110</f>
        <v>500000</v>
      </c>
      <c r="S1110" s="168"/>
      <c r="T1110" s="7"/>
    </row>
    <row r="1111" spans="1:20" s="169" customFormat="1" ht="15" customHeight="1">
      <c r="A1111" s="23"/>
      <c r="B1111" s="23"/>
      <c r="C1111" s="88"/>
      <c r="D1111" s="522"/>
      <c r="E1111" s="33"/>
      <c r="F1111" s="33"/>
      <c r="G1111" s="527"/>
      <c r="H1111" s="502"/>
      <c r="I1111" s="20"/>
      <c r="J1111" s="79"/>
      <c r="K1111" s="20"/>
      <c r="L1111" s="220"/>
      <c r="M1111" s="220"/>
      <c r="N1111" s="220"/>
      <c r="O1111" s="220"/>
      <c r="P1111" s="220"/>
      <c r="Q1111" s="20"/>
      <c r="R1111" s="68"/>
      <c r="S1111" s="168"/>
      <c r="T1111" s="7"/>
    </row>
    <row r="1112" spans="1:20" s="169" customFormat="1" ht="15" customHeight="1">
      <c r="A1112" s="23"/>
      <c r="B1112" s="23"/>
      <c r="C1112" s="88"/>
      <c r="D1112" s="522"/>
      <c r="E1112" s="33"/>
      <c r="F1112" s="33"/>
      <c r="G1112" s="527"/>
      <c r="H1112" s="502"/>
      <c r="I1112" s="20" t="s">
        <v>467</v>
      </c>
      <c r="J1112" s="220"/>
      <c r="K1112" s="220"/>
      <c r="L1112" s="220"/>
      <c r="M1112" s="220"/>
      <c r="N1112" s="220"/>
      <c r="O1112" s="220"/>
      <c r="P1112" s="220"/>
      <c r="Q1112" s="20"/>
      <c r="R1112" s="68"/>
      <c r="S1112" s="168"/>
      <c r="T1112" s="7"/>
    </row>
    <row r="1113" spans="1:20" s="169" customFormat="1" ht="15" hidden="1" customHeight="1">
      <c r="A1113" s="23"/>
      <c r="B1113" s="23"/>
      <c r="C1113" s="88"/>
      <c r="D1113" s="522"/>
      <c r="E1113" s="33"/>
      <c r="F1113" s="33"/>
      <c r="G1113" s="527"/>
      <c r="H1113" s="502"/>
      <c r="I1113" s="20" t="s">
        <v>468</v>
      </c>
      <c r="J1113" s="79">
        <v>30000</v>
      </c>
      <c r="K1113" s="20" t="s">
        <v>24</v>
      </c>
      <c r="L1113" s="20">
        <v>45</v>
      </c>
      <c r="M1113" s="90" t="s">
        <v>33</v>
      </c>
      <c r="N1113" s="220" t="s">
        <v>24</v>
      </c>
      <c r="O1113" s="20">
        <v>0</v>
      </c>
      <c r="P1113" s="20" t="s">
        <v>25</v>
      </c>
      <c r="Q1113" s="20" t="s">
        <v>22</v>
      </c>
      <c r="R1113" s="68">
        <f t="shared" ref="R1113:R1118" si="19">J1113*L1113*O1113</f>
        <v>0</v>
      </c>
      <c r="S1113" s="168"/>
      <c r="T1113" s="7"/>
    </row>
    <row r="1114" spans="1:20" s="169" customFormat="1" ht="15" hidden="1" customHeight="1">
      <c r="A1114" s="23"/>
      <c r="B1114" s="23"/>
      <c r="C1114" s="88"/>
      <c r="D1114" s="522"/>
      <c r="E1114" s="33"/>
      <c r="F1114" s="33"/>
      <c r="G1114" s="527"/>
      <c r="H1114" s="502"/>
      <c r="I1114" s="20" t="s">
        <v>728</v>
      </c>
      <c r="J1114" s="79">
        <v>3000</v>
      </c>
      <c r="K1114" s="20" t="s">
        <v>24</v>
      </c>
      <c r="L1114" s="20">
        <v>45</v>
      </c>
      <c r="M1114" s="90" t="s">
        <v>33</v>
      </c>
      <c r="N1114" s="220" t="s">
        <v>24</v>
      </c>
      <c r="O1114" s="20">
        <v>0</v>
      </c>
      <c r="P1114" s="20" t="s">
        <v>25</v>
      </c>
      <c r="Q1114" s="20" t="s">
        <v>22</v>
      </c>
      <c r="R1114" s="68">
        <f t="shared" si="19"/>
        <v>0</v>
      </c>
      <c r="S1114" s="168"/>
      <c r="T1114" s="7"/>
    </row>
    <row r="1115" spans="1:20" s="169" customFormat="1" ht="15" hidden="1" customHeight="1">
      <c r="A1115" s="23"/>
      <c r="B1115" s="23"/>
      <c r="C1115" s="88"/>
      <c r="D1115" s="522"/>
      <c r="E1115" s="33"/>
      <c r="F1115" s="33"/>
      <c r="G1115" s="527"/>
      <c r="H1115" s="502"/>
      <c r="I1115" s="20" t="s">
        <v>469</v>
      </c>
      <c r="J1115" s="79">
        <v>30000</v>
      </c>
      <c r="K1115" s="20" t="s">
        <v>24</v>
      </c>
      <c r="L1115" s="224">
        <v>1</v>
      </c>
      <c r="M1115" s="220" t="s">
        <v>33</v>
      </c>
      <c r="N1115" s="220" t="s">
        <v>24</v>
      </c>
      <c r="O1115" s="224">
        <v>0</v>
      </c>
      <c r="P1115" s="220" t="s">
        <v>25</v>
      </c>
      <c r="Q1115" s="20" t="s">
        <v>22</v>
      </c>
      <c r="R1115" s="68">
        <f t="shared" si="19"/>
        <v>0</v>
      </c>
      <c r="S1115" s="168"/>
      <c r="T1115" s="7"/>
    </row>
    <row r="1116" spans="1:20" s="169" customFormat="1" ht="15" hidden="1" customHeight="1">
      <c r="A1116" s="23"/>
      <c r="B1116" s="23"/>
      <c r="C1116" s="88"/>
      <c r="D1116" s="522"/>
      <c r="E1116" s="33"/>
      <c r="F1116" s="33"/>
      <c r="G1116" s="527"/>
      <c r="H1116" s="502"/>
      <c r="I1116" s="20" t="s">
        <v>729</v>
      </c>
      <c r="J1116" s="79">
        <v>30000</v>
      </c>
      <c r="K1116" s="20" t="s">
        <v>24</v>
      </c>
      <c r="L1116" s="224">
        <v>2</v>
      </c>
      <c r="M1116" s="220" t="s">
        <v>33</v>
      </c>
      <c r="N1116" s="220" t="s">
        <v>24</v>
      </c>
      <c r="O1116" s="224">
        <v>0</v>
      </c>
      <c r="P1116" s="220" t="s">
        <v>25</v>
      </c>
      <c r="Q1116" s="20" t="s">
        <v>22</v>
      </c>
      <c r="R1116" s="68">
        <f t="shared" si="19"/>
        <v>0</v>
      </c>
      <c r="S1116" s="168"/>
      <c r="T1116" s="7"/>
    </row>
    <row r="1117" spans="1:20" s="169" customFormat="1" ht="15" hidden="1" customHeight="1">
      <c r="A1117" s="23"/>
      <c r="B1117" s="23"/>
      <c r="C1117" s="88"/>
      <c r="D1117" s="522"/>
      <c r="E1117" s="33"/>
      <c r="F1117" s="33"/>
      <c r="G1117" s="527"/>
      <c r="H1117" s="502"/>
      <c r="I1117" s="20" t="s">
        <v>730</v>
      </c>
      <c r="J1117" s="79">
        <v>30000</v>
      </c>
      <c r="K1117" s="20" t="s">
        <v>24</v>
      </c>
      <c r="L1117" s="224">
        <v>1</v>
      </c>
      <c r="M1117" s="220" t="s">
        <v>33</v>
      </c>
      <c r="N1117" s="220" t="s">
        <v>24</v>
      </c>
      <c r="O1117" s="224">
        <v>0</v>
      </c>
      <c r="P1117" s="220" t="s">
        <v>25</v>
      </c>
      <c r="Q1117" s="20" t="s">
        <v>22</v>
      </c>
      <c r="R1117" s="68">
        <f t="shared" si="19"/>
        <v>0</v>
      </c>
      <c r="S1117" s="168"/>
      <c r="T1117" s="7"/>
    </row>
    <row r="1118" spans="1:20" s="169" customFormat="1" ht="15" hidden="1" customHeight="1">
      <c r="A1118" s="23"/>
      <c r="B1118" s="23"/>
      <c r="C1118" s="88"/>
      <c r="D1118" s="522"/>
      <c r="E1118" s="33"/>
      <c r="F1118" s="33"/>
      <c r="G1118" s="527"/>
      <c r="H1118" s="502"/>
      <c r="I1118" s="20" t="s">
        <v>731</v>
      </c>
      <c r="J1118" s="79">
        <v>30000</v>
      </c>
      <c r="K1118" s="20" t="s">
        <v>24</v>
      </c>
      <c r="L1118" s="224">
        <v>1</v>
      </c>
      <c r="M1118" s="220" t="s">
        <v>33</v>
      </c>
      <c r="N1118" s="220" t="s">
        <v>24</v>
      </c>
      <c r="O1118" s="224">
        <v>0</v>
      </c>
      <c r="P1118" s="220" t="s">
        <v>25</v>
      </c>
      <c r="Q1118" s="20" t="s">
        <v>22</v>
      </c>
      <c r="R1118" s="68">
        <f t="shared" si="19"/>
        <v>0</v>
      </c>
      <c r="S1118" s="168"/>
      <c r="T1118" s="7"/>
    </row>
    <row r="1119" spans="1:20" s="169" customFormat="1" ht="15" customHeight="1">
      <c r="A1119" s="23"/>
      <c r="B1119" s="23"/>
      <c r="C1119" s="88"/>
      <c r="D1119" s="522"/>
      <c r="E1119" s="33"/>
      <c r="F1119" s="33"/>
      <c r="G1119" s="527"/>
      <c r="H1119" s="502"/>
      <c r="I1119" s="20" t="s">
        <v>902</v>
      </c>
      <c r="J1119" s="79">
        <v>20000</v>
      </c>
      <c r="K1119" s="20" t="s">
        <v>24</v>
      </c>
      <c r="L1119" s="224">
        <v>120</v>
      </c>
      <c r="M1119" s="220" t="s">
        <v>33</v>
      </c>
      <c r="N1119" s="220" t="s">
        <v>24</v>
      </c>
      <c r="O1119" s="224">
        <v>1</v>
      </c>
      <c r="P1119" s="220" t="s">
        <v>25</v>
      </c>
      <c r="Q1119" s="20" t="s">
        <v>22</v>
      </c>
      <c r="R1119" s="68">
        <f>J1119*L1119*O1119</f>
        <v>2400000</v>
      </c>
      <c r="S1119" s="168"/>
      <c r="T1119" s="7"/>
    </row>
    <row r="1120" spans="1:20" s="169" customFormat="1" ht="15" customHeight="1">
      <c r="A1120" s="23"/>
      <c r="B1120" s="23"/>
      <c r="C1120" s="88"/>
      <c r="D1120" s="646"/>
      <c r="E1120" s="33"/>
      <c r="F1120" s="33"/>
      <c r="G1120" s="660"/>
      <c r="H1120" s="658"/>
      <c r="I1120" s="20" t="s">
        <v>903</v>
      </c>
      <c r="J1120" s="79">
        <v>35000</v>
      </c>
      <c r="K1120" s="20" t="s">
        <v>20</v>
      </c>
      <c r="L1120" s="224">
        <v>120</v>
      </c>
      <c r="M1120" s="220" t="s">
        <v>33</v>
      </c>
      <c r="N1120" s="220" t="s">
        <v>20</v>
      </c>
      <c r="O1120" s="224">
        <v>1</v>
      </c>
      <c r="P1120" s="220" t="s">
        <v>25</v>
      </c>
      <c r="Q1120" s="20" t="s">
        <v>22</v>
      </c>
      <c r="R1120" s="68">
        <f>J1120*L1120*O1120</f>
        <v>4200000</v>
      </c>
      <c r="S1120" s="168"/>
      <c r="T1120" s="7"/>
    </row>
    <row r="1121" spans="1:20" s="169" customFormat="1" ht="15" customHeight="1">
      <c r="A1121" s="23"/>
      <c r="B1121" s="23"/>
      <c r="C1121" s="88"/>
      <c r="D1121" s="522"/>
      <c r="E1121" s="33"/>
      <c r="F1121" s="33"/>
      <c r="G1121" s="527"/>
      <c r="H1121" s="502"/>
      <c r="I1121" s="20" t="s">
        <v>904</v>
      </c>
      <c r="J1121" s="79">
        <v>10000</v>
      </c>
      <c r="K1121" s="20" t="s">
        <v>24</v>
      </c>
      <c r="L1121" s="224">
        <v>8</v>
      </c>
      <c r="M1121" s="220" t="s">
        <v>470</v>
      </c>
      <c r="N1121" s="220" t="s">
        <v>24</v>
      </c>
      <c r="O1121" s="224">
        <v>10</v>
      </c>
      <c r="P1121" s="220" t="s">
        <v>34</v>
      </c>
      <c r="Q1121" s="20" t="s">
        <v>22</v>
      </c>
      <c r="R1121" s="68">
        <f>J1121*L1121*O1121</f>
        <v>800000</v>
      </c>
      <c r="S1121" s="168"/>
      <c r="T1121" s="7"/>
    </row>
    <row r="1122" spans="1:20" s="169" customFormat="1" ht="15" customHeight="1">
      <c r="A1122" s="23"/>
      <c r="B1122" s="23"/>
      <c r="C1122" s="88"/>
      <c r="D1122" s="522"/>
      <c r="E1122" s="33"/>
      <c r="F1122" s="33"/>
      <c r="G1122" s="527"/>
      <c r="H1122" s="502"/>
      <c r="I1122" s="20"/>
      <c r="J1122" s="314"/>
      <c r="K1122" s="20"/>
      <c r="L1122" s="220"/>
      <c r="M1122" s="220"/>
      <c r="N1122" s="220"/>
      <c r="O1122" s="220"/>
      <c r="P1122" s="220"/>
      <c r="Q1122" s="20"/>
      <c r="R1122" s="68"/>
      <c r="S1122" s="168"/>
      <c r="T1122" s="7"/>
    </row>
    <row r="1123" spans="1:20" s="169" customFormat="1" ht="15" customHeight="1">
      <c r="A1123" s="23"/>
      <c r="B1123" s="23"/>
      <c r="C1123" s="88"/>
      <c r="D1123" s="522"/>
      <c r="E1123" s="33"/>
      <c r="F1123" s="33"/>
      <c r="G1123" s="527"/>
      <c r="H1123" s="502"/>
      <c r="I1123" s="20" t="s">
        <v>732</v>
      </c>
      <c r="J1123" s="314"/>
      <c r="K1123" s="20"/>
      <c r="L1123" s="220"/>
      <c r="M1123" s="220"/>
      <c r="N1123" s="220"/>
      <c r="O1123" s="220"/>
      <c r="P1123" s="220"/>
      <c r="Q1123" s="20"/>
      <c r="R1123" s="68"/>
      <c r="S1123" s="168"/>
      <c r="T1123" s="7"/>
    </row>
    <row r="1124" spans="1:20" s="169" customFormat="1" ht="15" customHeight="1">
      <c r="A1124" s="23"/>
      <c r="B1124" s="23"/>
      <c r="C1124" s="88"/>
      <c r="D1124" s="522"/>
      <c r="E1124" s="33"/>
      <c r="F1124" s="33"/>
      <c r="G1124" s="527"/>
      <c r="H1124" s="502"/>
      <c r="I1124" s="20" t="s">
        <v>733</v>
      </c>
      <c r="J1124" s="79">
        <v>100000</v>
      </c>
      <c r="K1124" s="20" t="s">
        <v>20</v>
      </c>
      <c r="L1124" s="224">
        <v>2</v>
      </c>
      <c r="M1124" s="220" t="s">
        <v>33</v>
      </c>
      <c r="N1124" s="220" t="s">
        <v>20</v>
      </c>
      <c r="O1124" s="224">
        <v>2</v>
      </c>
      <c r="P1124" s="220" t="s">
        <v>25</v>
      </c>
      <c r="Q1124" s="20" t="s">
        <v>22</v>
      </c>
      <c r="R1124" s="68">
        <f t="shared" ref="R1124:R1129" si="20">J1124*L1124*O1124</f>
        <v>400000</v>
      </c>
      <c r="S1124" s="168"/>
      <c r="T1124" s="7"/>
    </row>
    <row r="1125" spans="1:20" s="169" customFormat="1" ht="15" hidden="1" customHeight="1">
      <c r="A1125" s="23"/>
      <c r="B1125" s="23"/>
      <c r="C1125" s="88"/>
      <c r="D1125" s="522"/>
      <c r="E1125" s="33"/>
      <c r="F1125" s="33"/>
      <c r="G1125" s="527"/>
      <c r="H1125" s="502"/>
      <c r="I1125" s="20" t="s">
        <v>457</v>
      </c>
      <c r="J1125" s="314">
        <v>100000</v>
      </c>
      <c r="K1125" s="20" t="s">
        <v>24</v>
      </c>
      <c r="L1125" s="224">
        <v>0</v>
      </c>
      <c r="M1125" s="220" t="s">
        <v>458</v>
      </c>
      <c r="N1125" s="220" t="s">
        <v>24</v>
      </c>
      <c r="O1125" s="224">
        <v>1</v>
      </c>
      <c r="P1125" s="220" t="s">
        <v>25</v>
      </c>
      <c r="Q1125" s="20" t="s">
        <v>22</v>
      </c>
      <c r="R1125" s="68">
        <f t="shared" si="20"/>
        <v>0</v>
      </c>
      <c r="S1125" s="168"/>
      <c r="T1125" s="7"/>
    </row>
    <row r="1126" spans="1:20" s="169" customFormat="1" ht="15" hidden="1" customHeight="1">
      <c r="A1126" s="23"/>
      <c r="B1126" s="23"/>
      <c r="C1126" s="88"/>
      <c r="D1126" s="522"/>
      <c r="E1126" s="33"/>
      <c r="F1126" s="33"/>
      <c r="G1126" s="527"/>
      <c r="H1126" s="502"/>
      <c r="I1126" s="20" t="s">
        <v>459</v>
      </c>
      <c r="J1126" s="314">
        <v>25000</v>
      </c>
      <c r="K1126" s="20" t="s">
        <v>24</v>
      </c>
      <c r="L1126" s="224">
        <v>0</v>
      </c>
      <c r="M1126" s="220" t="s">
        <v>33</v>
      </c>
      <c r="N1126" s="220" t="s">
        <v>24</v>
      </c>
      <c r="O1126" s="224">
        <v>1</v>
      </c>
      <c r="P1126" s="220" t="s">
        <v>25</v>
      </c>
      <c r="Q1126" s="20" t="s">
        <v>22</v>
      </c>
      <c r="R1126" s="68">
        <f t="shared" si="20"/>
        <v>0</v>
      </c>
      <c r="S1126" s="168"/>
      <c r="T1126" s="7"/>
    </row>
    <row r="1127" spans="1:20" s="169" customFormat="1" ht="15" hidden="1" customHeight="1">
      <c r="A1127" s="23"/>
      <c r="B1127" s="23"/>
      <c r="C1127" s="88"/>
      <c r="D1127" s="522"/>
      <c r="E1127" s="33"/>
      <c r="F1127" s="33"/>
      <c r="G1127" s="527"/>
      <c r="H1127" s="502"/>
      <c r="I1127" s="20" t="s">
        <v>460</v>
      </c>
      <c r="J1127" s="314">
        <v>33000</v>
      </c>
      <c r="K1127" s="20" t="s">
        <v>24</v>
      </c>
      <c r="L1127" s="224">
        <v>0</v>
      </c>
      <c r="M1127" s="220" t="s">
        <v>33</v>
      </c>
      <c r="N1127" s="220" t="s">
        <v>24</v>
      </c>
      <c r="O1127" s="224">
        <v>1</v>
      </c>
      <c r="P1127" s="220" t="s">
        <v>25</v>
      </c>
      <c r="Q1127" s="20" t="s">
        <v>22</v>
      </c>
      <c r="R1127" s="68">
        <f t="shared" si="20"/>
        <v>0</v>
      </c>
      <c r="S1127" s="168"/>
      <c r="T1127" s="7"/>
    </row>
    <row r="1128" spans="1:20" s="169" customFormat="1" ht="15" hidden="1" customHeight="1">
      <c r="A1128" s="23"/>
      <c r="B1128" s="23"/>
      <c r="C1128" s="88"/>
      <c r="D1128" s="522"/>
      <c r="E1128" s="33"/>
      <c r="F1128" s="33"/>
      <c r="G1128" s="527"/>
      <c r="H1128" s="502"/>
      <c r="I1128" s="20" t="s">
        <v>471</v>
      </c>
      <c r="J1128" s="314">
        <v>10000</v>
      </c>
      <c r="K1128" s="20" t="s">
        <v>24</v>
      </c>
      <c r="L1128" s="224">
        <v>0</v>
      </c>
      <c r="M1128" s="220" t="s">
        <v>33</v>
      </c>
      <c r="N1128" s="220" t="s">
        <v>24</v>
      </c>
      <c r="O1128" s="224">
        <v>3</v>
      </c>
      <c r="P1128" s="220" t="s">
        <v>240</v>
      </c>
      <c r="Q1128" s="20" t="s">
        <v>22</v>
      </c>
      <c r="R1128" s="68">
        <f t="shared" si="20"/>
        <v>0</v>
      </c>
      <c r="S1128" s="168"/>
      <c r="T1128" s="7"/>
    </row>
    <row r="1129" spans="1:20" s="169" customFormat="1" ht="15" hidden="1" customHeight="1">
      <c r="A1129" s="23"/>
      <c r="B1129" s="23"/>
      <c r="C1129" s="88"/>
      <c r="D1129" s="522"/>
      <c r="E1129" s="33"/>
      <c r="F1129" s="33"/>
      <c r="G1129" s="527"/>
      <c r="H1129" s="502"/>
      <c r="I1129" s="20" t="s">
        <v>472</v>
      </c>
      <c r="J1129" s="314">
        <v>3000</v>
      </c>
      <c r="K1129" s="20" t="s">
        <v>24</v>
      </c>
      <c r="L1129" s="224">
        <v>0</v>
      </c>
      <c r="M1129" s="220" t="s">
        <v>33</v>
      </c>
      <c r="N1129" s="220" t="s">
        <v>24</v>
      </c>
      <c r="O1129" s="224">
        <v>2</v>
      </c>
      <c r="P1129" s="220" t="s">
        <v>25</v>
      </c>
      <c r="Q1129" s="20" t="s">
        <v>22</v>
      </c>
      <c r="R1129" s="68">
        <f t="shared" si="20"/>
        <v>0</v>
      </c>
      <c r="S1129" s="168"/>
      <c r="T1129" s="7"/>
    </row>
    <row r="1130" spans="1:20" s="169" customFormat="1" ht="15" hidden="1" customHeight="1">
      <c r="A1130" s="23"/>
      <c r="B1130" s="23"/>
      <c r="C1130" s="88"/>
      <c r="D1130" s="522"/>
      <c r="E1130" s="33"/>
      <c r="F1130" s="33"/>
      <c r="G1130" s="527"/>
      <c r="H1130" s="502"/>
      <c r="I1130" s="20" t="s">
        <v>473</v>
      </c>
      <c r="J1130" s="314">
        <v>100000</v>
      </c>
      <c r="K1130" s="20" t="s">
        <v>24</v>
      </c>
      <c r="L1130" s="224">
        <v>0</v>
      </c>
      <c r="M1130" s="220" t="s">
        <v>25</v>
      </c>
      <c r="N1130" s="220"/>
      <c r="O1130" s="220"/>
      <c r="P1130" s="220"/>
      <c r="Q1130" s="20" t="s">
        <v>22</v>
      </c>
      <c r="R1130" s="68">
        <f>J1130*L1130</f>
        <v>0</v>
      </c>
      <c r="S1130" s="168"/>
      <c r="T1130" s="7"/>
    </row>
    <row r="1131" spans="1:20" s="169" customFormat="1" ht="15" hidden="1" customHeight="1">
      <c r="A1131" s="23"/>
      <c r="B1131" s="23"/>
      <c r="C1131" s="88"/>
      <c r="D1131" s="522"/>
      <c r="E1131" s="33"/>
      <c r="F1131" s="33"/>
      <c r="G1131" s="527"/>
      <c r="H1131" s="502"/>
      <c r="I1131" s="20" t="s">
        <v>474</v>
      </c>
      <c r="J1131" s="314">
        <v>30000</v>
      </c>
      <c r="K1131" s="20" t="s">
        <v>24</v>
      </c>
      <c r="L1131" s="224">
        <v>0</v>
      </c>
      <c r="M1131" s="220" t="s">
        <v>25</v>
      </c>
      <c r="N1131" s="220"/>
      <c r="O1131" s="220"/>
      <c r="P1131" s="220"/>
      <c r="Q1131" s="20" t="s">
        <v>22</v>
      </c>
      <c r="R1131" s="68">
        <f>J1131*L1131</f>
        <v>0</v>
      </c>
      <c r="S1131" s="168"/>
      <c r="T1131" s="7"/>
    </row>
    <row r="1132" spans="1:20" s="169" customFormat="1" ht="15" hidden="1" customHeight="1">
      <c r="A1132" s="23"/>
      <c r="B1132" s="23"/>
      <c r="C1132" s="88"/>
      <c r="D1132" s="522"/>
      <c r="E1132" s="33"/>
      <c r="F1132" s="33"/>
      <c r="G1132" s="527"/>
      <c r="H1132" s="502"/>
      <c r="I1132" s="20" t="s">
        <v>475</v>
      </c>
      <c r="J1132" s="314">
        <v>50000</v>
      </c>
      <c r="K1132" s="20" t="s">
        <v>24</v>
      </c>
      <c r="L1132" s="224">
        <v>0</v>
      </c>
      <c r="M1132" s="220" t="s">
        <v>25</v>
      </c>
      <c r="N1132" s="220"/>
      <c r="O1132" s="220"/>
      <c r="P1132" s="220"/>
      <c r="Q1132" s="20" t="s">
        <v>22</v>
      </c>
      <c r="R1132" s="68">
        <f>J1132*L1132</f>
        <v>0</v>
      </c>
      <c r="S1132" s="168"/>
      <c r="T1132" s="7"/>
    </row>
    <row r="1133" spans="1:20" s="169" customFormat="1" ht="15" hidden="1" customHeight="1">
      <c r="A1133" s="23"/>
      <c r="B1133" s="23"/>
      <c r="C1133" s="88"/>
      <c r="D1133" s="522"/>
      <c r="E1133" s="33"/>
      <c r="F1133" s="33"/>
      <c r="G1133" s="527"/>
      <c r="H1133" s="502"/>
      <c r="I1133" s="20" t="s">
        <v>462</v>
      </c>
      <c r="J1133" s="314">
        <v>30000</v>
      </c>
      <c r="K1133" s="20" t="s">
        <v>24</v>
      </c>
      <c r="L1133" s="224">
        <v>0</v>
      </c>
      <c r="M1133" s="220" t="s">
        <v>25</v>
      </c>
      <c r="N1133" s="220"/>
      <c r="O1133" s="220"/>
      <c r="P1133" s="220"/>
      <c r="Q1133" s="20" t="s">
        <v>22</v>
      </c>
      <c r="R1133" s="68">
        <f>J1133*L1133</f>
        <v>0</v>
      </c>
      <c r="S1133" s="168"/>
      <c r="T1133" s="7"/>
    </row>
    <row r="1134" spans="1:20" s="169" customFormat="1" ht="15" customHeight="1">
      <c r="A1134" s="23"/>
      <c r="B1134" s="23"/>
      <c r="C1134" s="88"/>
      <c r="D1134" s="522"/>
      <c r="E1134" s="33"/>
      <c r="F1134" s="33"/>
      <c r="G1134" s="527"/>
      <c r="H1134" s="502"/>
      <c r="I1134" s="20"/>
      <c r="J1134" s="314"/>
      <c r="K1134" s="20"/>
      <c r="L1134" s="220"/>
      <c r="M1134" s="220"/>
      <c r="N1134" s="220"/>
      <c r="O1134" s="220"/>
      <c r="P1134" s="220"/>
      <c r="Q1134" s="20"/>
      <c r="R1134" s="68"/>
      <c r="S1134" s="168"/>
      <c r="T1134" s="7"/>
    </row>
    <row r="1135" spans="1:20" s="169" customFormat="1" ht="15" customHeight="1">
      <c r="A1135" s="23"/>
      <c r="B1135" s="23"/>
      <c r="C1135" s="88"/>
      <c r="D1135" s="522"/>
      <c r="E1135" s="33"/>
      <c r="F1135" s="33"/>
      <c r="G1135" s="527"/>
      <c r="H1135" s="502"/>
      <c r="I1135" s="20" t="s">
        <v>476</v>
      </c>
      <c r="J1135" s="79">
        <v>200000</v>
      </c>
      <c r="K1135" s="20" t="s">
        <v>20</v>
      </c>
      <c r="L1135" s="224">
        <v>1</v>
      </c>
      <c r="M1135" s="220" t="s">
        <v>25</v>
      </c>
      <c r="N1135" s="220"/>
      <c r="O1135" s="220"/>
      <c r="P1135" s="220"/>
      <c r="Q1135" s="20" t="s">
        <v>22</v>
      </c>
      <c r="R1135" s="68"/>
      <c r="S1135" s="168"/>
      <c r="T1135" s="7"/>
    </row>
    <row r="1136" spans="1:20" s="169" customFormat="1" ht="15" customHeight="1">
      <c r="A1136" s="23"/>
      <c r="B1136" s="23"/>
      <c r="C1136" s="88"/>
      <c r="D1136" s="522"/>
      <c r="E1136" s="33"/>
      <c r="F1136" s="33"/>
      <c r="G1136" s="527"/>
      <c r="H1136" s="502"/>
      <c r="I1136" s="109" t="s">
        <v>324</v>
      </c>
      <c r="J1136" s="402"/>
      <c r="K1136" s="402"/>
      <c r="L1136" s="402"/>
      <c r="M1136" s="402"/>
      <c r="N1136" s="402"/>
      <c r="O1136" s="402"/>
      <c r="P1136" s="402"/>
      <c r="Q1136" s="109"/>
      <c r="R1136" s="318"/>
      <c r="S1136" s="168"/>
      <c r="T1136" s="7"/>
    </row>
    <row r="1137" spans="1:20" s="169" customFormat="1" ht="15" customHeight="1">
      <c r="A1137" s="23"/>
      <c r="B1137" s="23"/>
      <c r="C1137" s="88"/>
      <c r="D1137" s="522"/>
      <c r="E1137" s="33"/>
      <c r="F1137" s="33"/>
      <c r="G1137" s="527"/>
      <c r="H1137" s="502"/>
      <c r="I1137" s="1029"/>
      <c r="J1137" s="1030"/>
      <c r="K1137" s="1030"/>
      <c r="L1137" s="1030"/>
      <c r="M1137" s="1030"/>
      <c r="N1137" s="1030"/>
      <c r="O1137" s="158"/>
      <c r="P1137" s="310"/>
      <c r="Q1137" s="18" t="s">
        <v>23</v>
      </c>
      <c r="R1137" s="170">
        <f>SUM(R1135+R1123+R1112+R1104+R1079+R1071+R1053+R1136)</f>
        <v>0</v>
      </c>
      <c r="S1137" s="168"/>
      <c r="T1137" s="7">
        <f>R1137-S1137</f>
        <v>0</v>
      </c>
    </row>
    <row r="1138" spans="1:20" s="169" customFormat="1" ht="15" customHeight="1">
      <c r="A1138" s="23"/>
      <c r="B1138" s="88"/>
      <c r="C1138" s="939" t="s">
        <v>477</v>
      </c>
      <c r="D1138" s="494"/>
      <c r="E1138" s="1031">
        <f>SUM(E1141,E1144)</f>
        <v>0</v>
      </c>
      <c r="F1138" s="1031">
        <f>SUM(F1141,F1144)</f>
        <v>0</v>
      </c>
      <c r="G1138" s="1033">
        <f>F1138+F1140-E1138-E1140</f>
        <v>0</v>
      </c>
      <c r="H1138" s="962" t="e">
        <f>G1138/(E1138+E1140)</f>
        <v>#DIV/0!</v>
      </c>
      <c r="I1138" s="106"/>
      <c r="J1138" s="107"/>
      <c r="K1138" s="28"/>
      <c r="L1138" s="28"/>
      <c r="M1138" s="28"/>
      <c r="N1138" s="28"/>
      <c r="O1138" s="28"/>
      <c r="P1138" s="28"/>
      <c r="Q1138" s="28"/>
      <c r="R1138" s="315"/>
      <c r="S1138" s="168"/>
      <c r="T1138" s="7"/>
    </row>
    <row r="1139" spans="1:20" s="169" customFormat="1" ht="15" customHeight="1">
      <c r="A1139" s="23"/>
      <c r="B1139" s="88"/>
      <c r="C1139" s="940"/>
      <c r="D1139" s="32"/>
      <c r="E1139" s="1032"/>
      <c r="F1139" s="1032"/>
      <c r="G1139" s="1025"/>
      <c r="H1139" s="964"/>
      <c r="I1139" s="35"/>
      <c r="J1139" s="21"/>
      <c r="K1139" s="20"/>
      <c r="L1139" s="20"/>
      <c r="M1139" s="20"/>
      <c r="N1139" s="20"/>
      <c r="O1139" s="20"/>
      <c r="P1139" s="20"/>
      <c r="Q1139" s="20"/>
      <c r="R1139" s="316"/>
      <c r="S1139" s="168"/>
      <c r="T1139" s="7"/>
    </row>
    <row r="1140" spans="1:20" s="169" customFormat="1" ht="15" customHeight="1">
      <c r="A1140" s="23"/>
      <c r="B1140" s="23"/>
      <c r="C1140" s="941"/>
      <c r="D1140" s="32"/>
      <c r="E1140" s="525">
        <f>SUM(E1143,E1150)</f>
        <v>0</v>
      </c>
      <c r="F1140" s="525">
        <f>SUM(F1143,F1150)</f>
        <v>0</v>
      </c>
      <c r="G1140" s="1026"/>
      <c r="H1140" s="963"/>
      <c r="I1140" s="35"/>
      <c r="J1140" s="21"/>
      <c r="K1140" s="18"/>
      <c r="L1140" s="18"/>
      <c r="M1140" s="18"/>
      <c r="N1140" s="18"/>
      <c r="O1140" s="18"/>
      <c r="P1140" s="18"/>
      <c r="Q1140" s="18"/>
      <c r="R1140" s="317"/>
      <c r="S1140" s="168">
        <f>SUM(S1143,S1154)</f>
        <v>0</v>
      </c>
      <c r="T1140" s="168">
        <f>SUM(T1143,T1154)</f>
        <v>0</v>
      </c>
    </row>
    <row r="1141" spans="1:20" s="169" customFormat="1" ht="15" customHeight="1">
      <c r="A1141" s="23"/>
      <c r="B1141" s="23"/>
      <c r="C1141" s="88"/>
      <c r="D1141" s="886" t="s">
        <v>478</v>
      </c>
      <c r="E1141" s="1006">
        <v>0</v>
      </c>
      <c r="F1141" s="1006">
        <f>S1143/1000</f>
        <v>0</v>
      </c>
      <c r="G1141" s="927">
        <f>F1141+F1143-E1141-E1143</f>
        <v>0</v>
      </c>
      <c r="H1141" s="997" t="e">
        <f>G1141/(E1141+E1143)</f>
        <v>#DIV/0!</v>
      </c>
      <c r="I1141" s="28"/>
      <c r="J1141" s="156"/>
      <c r="K1141" s="220"/>
      <c r="L1141" s="220"/>
      <c r="M1141" s="220"/>
      <c r="N1141" s="220"/>
      <c r="O1141" s="220"/>
      <c r="P1141" s="220"/>
      <c r="Q1141" s="20"/>
      <c r="R1141" s="68"/>
      <c r="S1141" s="168"/>
      <c r="T1141" s="7"/>
    </row>
    <row r="1142" spans="1:20" s="169" customFormat="1" ht="15" customHeight="1">
      <c r="A1142" s="23"/>
      <c r="B1142" s="23"/>
      <c r="C1142" s="88"/>
      <c r="D1142" s="924"/>
      <c r="E1142" s="1019"/>
      <c r="F1142" s="1019"/>
      <c r="G1142" s="919"/>
      <c r="H1142" s="998"/>
      <c r="I1142" s="20"/>
      <c r="J1142" s="63"/>
      <c r="K1142" s="20"/>
      <c r="L1142" s="20"/>
      <c r="M1142" s="20"/>
      <c r="N1142" s="20"/>
      <c r="O1142" s="20"/>
      <c r="P1142" s="20"/>
      <c r="Q1142" s="20"/>
      <c r="R1142" s="171"/>
      <c r="S1142" s="168"/>
      <c r="T1142" s="7"/>
    </row>
    <row r="1143" spans="1:20" s="169" customFormat="1" ht="15" customHeight="1">
      <c r="A1143" s="23"/>
      <c r="B1143" s="23"/>
      <c r="C1143" s="230"/>
      <c r="D1143" s="888"/>
      <c r="E1143" s="516">
        <v>0</v>
      </c>
      <c r="F1143" s="516">
        <f>T1143/1000</f>
        <v>0</v>
      </c>
      <c r="G1143" s="519"/>
      <c r="H1143" s="520"/>
      <c r="I1143" s="18"/>
      <c r="J1143" s="17"/>
      <c r="K1143" s="18"/>
      <c r="L1143" s="18"/>
      <c r="M1143" s="18"/>
      <c r="N1143" s="18"/>
      <c r="O1143" s="18"/>
      <c r="P1143" s="18"/>
      <c r="Q1143" s="18" t="s">
        <v>23</v>
      </c>
      <c r="R1143" s="170">
        <f>SUM(R1141:R1142)</f>
        <v>0</v>
      </c>
      <c r="S1143" s="168"/>
      <c r="T1143" s="7">
        <f>R1143-S1143</f>
        <v>0</v>
      </c>
    </row>
    <row r="1144" spans="1:20" s="169" customFormat="1" ht="15" customHeight="1">
      <c r="A1144" s="23"/>
      <c r="B1144" s="23"/>
      <c r="C1144" s="88"/>
      <c r="D1144" s="886" t="s">
        <v>479</v>
      </c>
      <c r="E1144" s="1006">
        <v>0</v>
      </c>
      <c r="F1144" s="1006">
        <f>S1154/1000</f>
        <v>0</v>
      </c>
      <c r="G1144" s="927">
        <f>F1144+F1150-E1144-E1150</f>
        <v>0</v>
      </c>
      <c r="H1144" s="997" t="e">
        <f>G1144/(E1144+E1150)</f>
        <v>#DIV/0!</v>
      </c>
      <c r="I1144" s="28"/>
      <c r="J1144" s="156"/>
      <c r="K1144" s="220"/>
      <c r="L1144" s="220"/>
      <c r="M1144" s="220"/>
      <c r="N1144" s="220"/>
      <c r="O1144" s="220"/>
      <c r="P1144" s="220"/>
      <c r="Q1144" s="20"/>
      <c r="R1144" s="68"/>
      <c r="S1144" s="168"/>
      <c r="T1144" s="7"/>
    </row>
    <row r="1145" spans="1:20" s="169" customFormat="1" ht="15" customHeight="1">
      <c r="A1145" s="23"/>
      <c r="B1145" s="23"/>
      <c r="C1145" s="88"/>
      <c r="D1145" s="924"/>
      <c r="E1145" s="1004"/>
      <c r="F1145" s="1004"/>
      <c r="G1145" s="919"/>
      <c r="H1145" s="998"/>
      <c r="I1145" s="20"/>
      <c r="J1145" s="63"/>
      <c r="K1145" s="220"/>
      <c r="L1145" s="224"/>
      <c r="M1145" s="220"/>
      <c r="N1145" s="220"/>
      <c r="O1145" s="220"/>
      <c r="P1145" s="220"/>
      <c r="Q1145" s="20"/>
      <c r="R1145" s="68"/>
      <c r="S1145" s="168"/>
      <c r="T1145" s="7"/>
    </row>
    <row r="1146" spans="1:20" s="169" customFormat="1" ht="15" customHeight="1">
      <c r="A1146" s="23"/>
      <c r="B1146" s="23"/>
      <c r="C1146" s="88"/>
      <c r="D1146" s="924"/>
      <c r="E1146" s="1004"/>
      <c r="F1146" s="1004"/>
      <c r="G1146" s="919"/>
      <c r="H1146" s="998"/>
      <c r="I1146" s="20"/>
      <c r="J1146" s="1034"/>
      <c r="K1146" s="1034"/>
      <c r="L1146" s="1034"/>
      <c r="M1146" s="1034"/>
      <c r="N1146" s="1034"/>
      <c r="O1146" s="1034"/>
      <c r="P1146" s="1034"/>
      <c r="Q1146" s="20"/>
      <c r="R1146" s="68"/>
      <c r="S1146" s="168"/>
      <c r="T1146" s="7"/>
    </row>
    <row r="1147" spans="1:20" s="169" customFormat="1" ht="15" customHeight="1">
      <c r="A1147" s="23"/>
      <c r="B1147" s="23"/>
      <c r="C1147" s="88"/>
      <c r="D1147" s="924"/>
      <c r="E1147" s="1004"/>
      <c r="F1147" s="1004"/>
      <c r="G1147" s="919"/>
      <c r="H1147" s="998"/>
      <c r="I1147" s="20"/>
      <c r="J1147" s="63"/>
      <c r="K1147" s="220"/>
      <c r="L1147" s="220"/>
      <c r="M1147" s="220"/>
      <c r="N1147" s="220"/>
      <c r="O1147" s="220"/>
      <c r="P1147" s="220"/>
      <c r="Q1147" s="20"/>
      <c r="R1147" s="68"/>
      <c r="S1147" s="168"/>
      <c r="T1147" s="7"/>
    </row>
    <row r="1148" spans="1:20" s="169" customFormat="1" ht="15" customHeight="1">
      <c r="A1148" s="23"/>
      <c r="B1148" s="23"/>
      <c r="C1148" s="88"/>
      <c r="D1148" s="924"/>
      <c r="E1148" s="1004"/>
      <c r="F1148" s="1004"/>
      <c r="G1148" s="919"/>
      <c r="H1148" s="998"/>
      <c r="I1148" s="20"/>
      <c r="J1148" s="63"/>
      <c r="K1148" s="220"/>
      <c r="L1148" s="224"/>
      <c r="M1148" s="220"/>
      <c r="N1148" s="220"/>
      <c r="O1148" s="220"/>
      <c r="P1148" s="220"/>
      <c r="Q1148" s="20"/>
      <c r="R1148" s="68"/>
      <c r="S1148" s="168"/>
      <c r="T1148" s="7"/>
    </row>
    <row r="1149" spans="1:20" s="169" customFormat="1" ht="15" customHeight="1">
      <c r="A1149" s="23"/>
      <c r="B1149" s="23"/>
      <c r="C1149" s="88"/>
      <c r="D1149" s="924"/>
      <c r="E1149" s="1019"/>
      <c r="F1149" s="1019"/>
      <c r="G1149" s="919"/>
      <c r="H1149" s="998"/>
      <c r="I1149" s="20"/>
      <c r="J1149" s="63"/>
      <c r="K1149" s="20"/>
      <c r="L1149" s="20"/>
      <c r="M1149" s="20"/>
      <c r="N1149" s="20"/>
      <c r="O1149" s="20"/>
      <c r="P1149" s="20"/>
      <c r="Q1149" s="20"/>
      <c r="R1149" s="68"/>
      <c r="S1149" s="168"/>
      <c r="T1149" s="7"/>
    </row>
    <row r="1150" spans="1:20" s="169" customFormat="1" ht="15" customHeight="1">
      <c r="A1150" s="23"/>
      <c r="B1150" s="23"/>
      <c r="C1150" s="88"/>
      <c r="D1150" s="924"/>
      <c r="E1150" s="1006">
        <v>0</v>
      </c>
      <c r="F1150" s="1006">
        <f>T1154/1000</f>
        <v>0</v>
      </c>
      <c r="G1150" s="517"/>
      <c r="H1150" s="502"/>
      <c r="I1150" s="20"/>
      <c r="J1150" s="63"/>
      <c r="K1150" s="20"/>
      <c r="L1150" s="20"/>
      <c r="M1150" s="20"/>
      <c r="N1150" s="20"/>
      <c r="O1150" s="20"/>
      <c r="P1150" s="20"/>
      <c r="Q1150" s="20"/>
      <c r="R1150" s="68"/>
      <c r="S1150" s="168"/>
      <c r="T1150" s="7"/>
    </row>
    <row r="1151" spans="1:20" s="169" customFormat="1" ht="15" customHeight="1">
      <c r="A1151" s="23"/>
      <c r="B1151" s="23"/>
      <c r="C1151" s="88"/>
      <c r="D1151" s="924"/>
      <c r="E1151" s="1004"/>
      <c r="F1151" s="1004"/>
      <c r="G1151" s="517"/>
      <c r="H1151" s="502"/>
      <c r="I1151" s="20"/>
      <c r="J1151" s="63"/>
      <c r="K1151" s="20"/>
      <c r="L1151" s="20"/>
      <c r="M1151" s="20"/>
      <c r="N1151" s="20"/>
      <c r="O1151" s="20"/>
      <c r="P1151" s="20"/>
      <c r="Q1151" s="20"/>
      <c r="R1151" s="68"/>
      <c r="S1151" s="168"/>
      <c r="T1151" s="7"/>
    </row>
    <row r="1152" spans="1:20" s="169" customFormat="1" ht="15" customHeight="1">
      <c r="A1152" s="23"/>
      <c r="B1152" s="23"/>
      <c r="C1152" s="88"/>
      <c r="D1152" s="924"/>
      <c r="E1152" s="1004"/>
      <c r="F1152" s="1004"/>
      <c r="G1152" s="517"/>
      <c r="H1152" s="502"/>
      <c r="I1152" s="20"/>
      <c r="J1152" s="63"/>
      <c r="K1152" s="20"/>
      <c r="L1152" s="20"/>
      <c r="M1152" s="20"/>
      <c r="N1152" s="20"/>
      <c r="O1152" s="20"/>
      <c r="P1152" s="20"/>
      <c r="Q1152" s="20"/>
      <c r="R1152" s="68"/>
      <c r="S1152" s="168"/>
      <c r="T1152" s="7"/>
    </row>
    <row r="1153" spans="1:20" s="169" customFormat="1" ht="15" customHeight="1">
      <c r="A1153" s="23"/>
      <c r="B1153" s="23"/>
      <c r="C1153" s="88"/>
      <c r="D1153" s="924"/>
      <c r="E1153" s="1004"/>
      <c r="F1153" s="1004"/>
      <c r="G1153" s="517"/>
      <c r="H1153" s="502"/>
      <c r="I1153" s="20"/>
      <c r="J1153" s="63"/>
      <c r="K1153" s="20"/>
      <c r="L1153" s="20"/>
      <c r="M1153" s="20"/>
      <c r="N1153" s="20"/>
      <c r="O1153" s="20"/>
      <c r="P1153" s="20"/>
      <c r="Q1153" s="20"/>
      <c r="R1153" s="68"/>
      <c r="S1153" s="168"/>
      <c r="T1153" s="7"/>
    </row>
    <row r="1154" spans="1:20" s="169" customFormat="1" ht="15" customHeight="1">
      <c r="A1154" s="23"/>
      <c r="B1154" s="23"/>
      <c r="C1154" s="230"/>
      <c r="D1154" s="888"/>
      <c r="E1154" s="1019"/>
      <c r="F1154" s="1019"/>
      <c r="G1154" s="519"/>
      <c r="H1154" s="520"/>
      <c r="I1154" s="18"/>
      <c r="J1154" s="17"/>
      <c r="K1154" s="18"/>
      <c r="L1154" s="18"/>
      <c r="M1154" s="18"/>
      <c r="N1154" s="18"/>
      <c r="O1154" s="18"/>
      <c r="P1154" s="18"/>
      <c r="Q1154" s="18" t="s">
        <v>23</v>
      </c>
      <c r="R1154" s="170">
        <f>SUM(R1144,R1147,R1150)</f>
        <v>0</v>
      </c>
      <c r="S1154" s="168"/>
      <c r="T1154" s="7">
        <f>R1154-S1154</f>
        <v>0</v>
      </c>
    </row>
    <row r="1155" spans="1:20" s="169" customFormat="1" ht="15" customHeight="1">
      <c r="A1155" s="23"/>
      <c r="B1155" s="88"/>
      <c r="C1155" s="939" t="s">
        <v>480</v>
      </c>
      <c r="D1155" s="494"/>
      <c r="E1155" s="923">
        <f>SUM(E1158,E1168)</f>
        <v>0</v>
      </c>
      <c r="F1155" s="923">
        <f>SUM(F1158,F1168)</f>
        <v>0</v>
      </c>
      <c r="G1155" s="1033">
        <f>F1155+F1157-E1155-E1157</f>
        <v>179.93820000000414</v>
      </c>
      <c r="H1155" s="962">
        <f>G1155/(E1155+E1157)</f>
        <v>1.733558773374993E-3</v>
      </c>
      <c r="I1155" s="106"/>
      <c r="J1155" s="107"/>
      <c r="K1155" s="28"/>
      <c r="L1155" s="28"/>
      <c r="M1155" s="28"/>
      <c r="N1155" s="28"/>
      <c r="O1155" s="28"/>
      <c r="P1155" s="28"/>
      <c r="Q1155" s="28"/>
      <c r="R1155" s="315"/>
      <c r="S1155" s="168"/>
      <c r="T1155" s="7"/>
    </row>
    <row r="1156" spans="1:20" s="169" customFormat="1" ht="15" customHeight="1">
      <c r="A1156" s="23"/>
      <c r="B1156" s="88"/>
      <c r="C1156" s="940"/>
      <c r="D1156" s="32"/>
      <c r="E1156" s="918"/>
      <c r="F1156" s="918"/>
      <c r="G1156" s="1025"/>
      <c r="H1156" s="964"/>
      <c r="I1156" s="35"/>
      <c r="J1156" s="21"/>
      <c r="K1156" s="20"/>
      <c r="L1156" s="20"/>
      <c r="M1156" s="20"/>
      <c r="N1156" s="20"/>
      <c r="O1156" s="20"/>
      <c r="P1156" s="20"/>
      <c r="Q1156" s="20"/>
      <c r="R1156" s="316"/>
      <c r="S1156" s="168"/>
      <c r="T1156" s="7"/>
    </row>
    <row r="1157" spans="1:20" s="169" customFormat="1" ht="15" customHeight="1">
      <c r="A1157" s="23"/>
      <c r="B1157" s="23"/>
      <c r="C1157" s="941"/>
      <c r="D1157" s="32"/>
      <c r="E1157" s="503">
        <f>SUM(E1161,E1178)</f>
        <v>103797</v>
      </c>
      <c r="F1157" s="503">
        <f>SUM(F1161,F1178)</f>
        <v>103976.9382</v>
      </c>
      <c r="G1157" s="1026"/>
      <c r="H1157" s="963"/>
      <c r="I1157" s="35"/>
      <c r="J1157" s="21"/>
      <c r="K1157" s="18"/>
      <c r="L1157" s="18"/>
      <c r="M1157" s="18"/>
      <c r="N1157" s="18"/>
      <c r="O1157" s="18"/>
      <c r="P1157" s="18"/>
      <c r="Q1157" s="18"/>
      <c r="R1157" s="317"/>
      <c r="S1157" s="168">
        <f>SUM(S1167)</f>
        <v>0</v>
      </c>
      <c r="T1157" s="168">
        <f>SUM(T1167,T1179)</f>
        <v>103976938.2</v>
      </c>
    </row>
    <row r="1158" spans="1:20" s="169" customFormat="1" ht="15" customHeight="1">
      <c r="A1158" s="23"/>
      <c r="B1158" s="23"/>
      <c r="C1158" s="173"/>
      <c r="D1158" s="943" t="s">
        <v>480</v>
      </c>
      <c r="E1158" s="978">
        <v>0</v>
      </c>
      <c r="F1158" s="925">
        <f>S1167/1000</f>
        <v>0</v>
      </c>
      <c r="G1158" s="927">
        <f>E1158+E1161-F1158-F1161</f>
        <v>51.549799999993411</v>
      </c>
      <c r="H1158" s="997">
        <f>G1158/(E1158+E1161)</f>
        <v>5.5170649742600263E-4</v>
      </c>
      <c r="I1158" s="28" t="s">
        <v>481</v>
      </c>
      <c r="J1158" s="156">
        <v>5000000</v>
      </c>
      <c r="K1158" s="311" t="s">
        <v>24</v>
      </c>
      <c r="L1158" s="215">
        <v>12</v>
      </c>
      <c r="M1158" s="311" t="s">
        <v>230</v>
      </c>
      <c r="N1158" s="311"/>
      <c r="O1158" s="311"/>
      <c r="P1158" s="311"/>
      <c r="Q1158" s="28" t="s">
        <v>22</v>
      </c>
      <c r="R1158" s="265">
        <f>J1158*L1158</f>
        <v>60000000</v>
      </c>
      <c r="S1158" s="168"/>
      <c r="T1158" s="7"/>
    </row>
    <row r="1159" spans="1:20" s="169" customFormat="1" ht="15" customHeight="1">
      <c r="A1159" s="23"/>
      <c r="B1159" s="23"/>
      <c r="C1159" s="88"/>
      <c r="D1159" s="942"/>
      <c r="E1159" s="978"/>
      <c r="F1159" s="926"/>
      <c r="G1159" s="919"/>
      <c r="H1159" s="998"/>
      <c r="I1159" s="20" t="s">
        <v>482</v>
      </c>
      <c r="J1159" s="63">
        <v>1771160</v>
      </c>
      <c r="K1159" s="220" t="s">
        <v>20</v>
      </c>
      <c r="L1159" s="224">
        <v>12</v>
      </c>
      <c r="M1159" s="220" t="s">
        <v>230</v>
      </c>
      <c r="N1159" s="220"/>
      <c r="O1159" s="220"/>
      <c r="P1159" s="220"/>
      <c r="Q1159" s="20" t="s">
        <v>22</v>
      </c>
      <c r="R1159" s="68">
        <f t="shared" ref="R1159:R1165" si="21">J1159*L1159</f>
        <v>21253920</v>
      </c>
      <c r="S1159" s="168"/>
      <c r="T1159" s="7"/>
    </row>
    <row r="1160" spans="1:20" s="169" customFormat="1" ht="15" customHeight="1">
      <c r="A1160" s="23"/>
      <c r="B1160" s="23"/>
      <c r="C1160" s="88"/>
      <c r="D1160" s="942"/>
      <c r="E1160" s="978"/>
      <c r="F1160" s="932"/>
      <c r="G1160" s="919"/>
      <c r="H1160" s="998"/>
      <c r="I1160" s="20" t="s">
        <v>483</v>
      </c>
      <c r="J1160" s="63">
        <f>R1159</f>
        <v>21253920</v>
      </c>
      <c r="K1160" s="220" t="s">
        <v>1047</v>
      </c>
      <c r="L1160" s="224">
        <v>12</v>
      </c>
      <c r="M1160" s="220" t="s">
        <v>230</v>
      </c>
      <c r="N1160" s="220"/>
      <c r="O1160" s="220"/>
      <c r="P1160" s="220"/>
      <c r="Q1160" s="20" t="s">
        <v>22</v>
      </c>
      <c r="R1160" s="68">
        <f>J1160/L1160</f>
        <v>1771160</v>
      </c>
      <c r="S1160" s="168"/>
      <c r="T1160" s="7"/>
    </row>
    <row r="1161" spans="1:20" s="169" customFormat="1" ht="15" customHeight="1">
      <c r="A1161" s="23"/>
      <c r="B1161" s="23"/>
      <c r="C1161" s="88"/>
      <c r="D1161" s="942"/>
      <c r="E1161" s="978">
        <v>93437</v>
      </c>
      <c r="F1161" s="1036">
        <f>T1167/1000</f>
        <v>93385.450200000007</v>
      </c>
      <c r="G1161" s="919"/>
      <c r="H1161" s="998"/>
      <c r="I1161" s="20" t="s">
        <v>484</v>
      </c>
      <c r="J1161" s="63">
        <f>R1159</f>
        <v>21253920</v>
      </c>
      <c r="K1161" s="220" t="s">
        <v>20</v>
      </c>
      <c r="L1161" s="224">
        <v>11</v>
      </c>
      <c r="M1161" s="220" t="s">
        <v>1048</v>
      </c>
      <c r="N1161" s="220"/>
      <c r="O1161" s="220"/>
      <c r="P1161" s="220"/>
      <c r="Q1161" s="20" t="s">
        <v>22</v>
      </c>
      <c r="R1161" s="68">
        <f>J1161*L1161%</f>
        <v>2337931.2000000002</v>
      </c>
      <c r="S1161" s="168"/>
      <c r="T1161" s="7"/>
    </row>
    <row r="1162" spans="1:20" s="169" customFormat="1" ht="15" customHeight="1">
      <c r="A1162" s="23"/>
      <c r="B1162" s="23"/>
      <c r="C1162" s="88"/>
      <c r="D1162" s="942"/>
      <c r="E1162" s="978"/>
      <c r="F1162" s="1036"/>
      <c r="G1162" s="919"/>
      <c r="H1162" s="998"/>
      <c r="I1162" s="20" t="s">
        <v>1024</v>
      </c>
      <c r="J1162" s="63">
        <v>35000</v>
      </c>
      <c r="K1162" s="220" t="s">
        <v>20</v>
      </c>
      <c r="L1162" s="224">
        <v>2</v>
      </c>
      <c r="M1162" s="220" t="s">
        <v>487</v>
      </c>
      <c r="N1162" s="220"/>
      <c r="O1162" s="220"/>
      <c r="P1162" s="220"/>
      <c r="Q1162" s="20" t="s">
        <v>22</v>
      </c>
      <c r="R1162" s="68">
        <f t="shared" si="21"/>
        <v>70000</v>
      </c>
      <c r="S1162" s="168"/>
      <c r="T1162" s="7"/>
    </row>
    <row r="1163" spans="1:20" s="169" customFormat="1" ht="15" customHeight="1">
      <c r="A1163" s="23"/>
      <c r="B1163" s="23"/>
      <c r="C1163" s="88"/>
      <c r="D1163" s="942"/>
      <c r="E1163" s="978"/>
      <c r="F1163" s="1037"/>
      <c r="G1163" s="919"/>
      <c r="H1163" s="998"/>
      <c r="I1163" s="20" t="s">
        <v>485</v>
      </c>
      <c r="J1163" s="63">
        <v>62700</v>
      </c>
      <c r="K1163" s="220" t="s">
        <v>20</v>
      </c>
      <c r="L1163" s="224">
        <v>12</v>
      </c>
      <c r="M1163" s="220" t="s">
        <v>252</v>
      </c>
      <c r="N1163" s="220"/>
      <c r="O1163" s="220"/>
      <c r="P1163" s="220"/>
      <c r="Q1163" s="20" t="s">
        <v>22</v>
      </c>
      <c r="R1163" s="68">
        <v>752439</v>
      </c>
      <c r="S1163" s="168"/>
      <c r="T1163" s="7"/>
    </row>
    <row r="1164" spans="1:20" s="169" customFormat="1" ht="15" customHeight="1">
      <c r="A1164" s="23"/>
      <c r="B1164" s="23"/>
      <c r="C1164" s="88"/>
      <c r="D1164" s="942"/>
      <c r="E1164" s="978"/>
      <c r="F1164" s="1037"/>
      <c r="G1164" s="919"/>
      <c r="H1164" s="998"/>
      <c r="I1164" s="20" t="s">
        <v>486</v>
      </c>
      <c r="J1164" s="63">
        <v>1200000</v>
      </c>
      <c r="K1164" s="220" t="s">
        <v>20</v>
      </c>
      <c r="L1164" s="224">
        <v>1</v>
      </c>
      <c r="M1164" s="220" t="s">
        <v>487</v>
      </c>
      <c r="N1164" s="220"/>
      <c r="O1164" s="220"/>
      <c r="P1164" s="220"/>
      <c r="Q1164" s="20" t="s">
        <v>22</v>
      </c>
      <c r="R1164" s="68">
        <f t="shared" si="21"/>
        <v>1200000</v>
      </c>
      <c r="S1164" s="168"/>
      <c r="T1164" s="7"/>
    </row>
    <row r="1165" spans="1:20" s="169" customFormat="1" ht="15" customHeight="1">
      <c r="A1165" s="23"/>
      <c r="B1165" s="23"/>
      <c r="C1165" s="88"/>
      <c r="D1165" s="942"/>
      <c r="E1165" s="978"/>
      <c r="F1165" s="1037"/>
      <c r="G1165" s="919"/>
      <c r="H1165" s="998"/>
      <c r="I1165" s="20" t="s">
        <v>1023</v>
      </c>
      <c r="J1165" s="63">
        <v>3000000</v>
      </c>
      <c r="K1165" s="220" t="s">
        <v>20</v>
      </c>
      <c r="L1165" s="224">
        <v>2</v>
      </c>
      <c r="M1165" s="220" t="s">
        <v>487</v>
      </c>
      <c r="N1165" s="220"/>
      <c r="O1165" s="220"/>
      <c r="P1165" s="220"/>
      <c r="Q1165" s="20" t="s">
        <v>22</v>
      </c>
      <c r="R1165" s="68">
        <f t="shared" si="21"/>
        <v>6000000</v>
      </c>
      <c r="S1165" s="168"/>
      <c r="T1165" s="7"/>
    </row>
    <row r="1166" spans="1:20" s="169" customFormat="1" ht="15" customHeight="1">
      <c r="A1166" s="23"/>
      <c r="B1166" s="23"/>
      <c r="C1166" s="88"/>
      <c r="D1166" s="942"/>
      <c r="E1166" s="978"/>
      <c r="F1166" s="1037"/>
      <c r="G1166" s="919"/>
      <c r="H1166" s="998"/>
      <c r="I1166" s="20"/>
      <c r="J1166" s="63"/>
      <c r="K1166" s="220"/>
      <c r="L1166" s="224"/>
      <c r="M1166" s="220"/>
      <c r="N1166" s="220"/>
      <c r="O1166" s="220"/>
      <c r="P1166" s="220"/>
      <c r="Q1166" s="20"/>
      <c r="R1166" s="68"/>
      <c r="S1166" s="168"/>
      <c r="T1166" s="7"/>
    </row>
    <row r="1167" spans="1:20" s="169" customFormat="1" ht="15" customHeight="1">
      <c r="A1167" s="23"/>
      <c r="B1167" s="23"/>
      <c r="C1167" s="88"/>
      <c r="D1167" s="994"/>
      <c r="E1167" s="978"/>
      <c r="F1167" s="1037"/>
      <c r="G1167" s="920"/>
      <c r="H1167" s="1013"/>
      <c r="I1167" s="18"/>
      <c r="J1167" s="296"/>
      <c r="K1167" s="18"/>
      <c r="L1167" s="18"/>
      <c r="M1167" s="18"/>
      <c r="N1167" s="18"/>
      <c r="O1167" s="18"/>
      <c r="P1167" s="18"/>
      <c r="Q1167" s="18" t="s">
        <v>23</v>
      </c>
      <c r="R1167" s="170">
        <f>SUM(R1157:R1165)</f>
        <v>93385450.200000003</v>
      </c>
      <c r="S1167" s="168"/>
      <c r="T1167" s="7">
        <f>R1167-S1167</f>
        <v>93385450.200000003</v>
      </c>
    </row>
    <row r="1168" spans="1:20" s="169" customFormat="1" ht="15" customHeight="1">
      <c r="A1168" s="23"/>
      <c r="B1168" s="23"/>
      <c r="C1168" s="88"/>
      <c r="D1168" s="943" t="s">
        <v>488</v>
      </c>
      <c r="E1168" s="978">
        <v>0</v>
      </c>
      <c r="F1168" s="925">
        <f>S1179/1000</f>
        <v>0</v>
      </c>
      <c r="G1168" s="927">
        <f>E1168+E1178-F1168-F1178</f>
        <v>-231.48799999999937</v>
      </c>
      <c r="H1168" s="997">
        <f>G1168/(E1168+E1178)</f>
        <v>-2.2344401544401486E-2</v>
      </c>
      <c r="I1168" s="28" t="s">
        <v>489</v>
      </c>
      <c r="J1168" s="156"/>
      <c r="K1168" s="311"/>
      <c r="L1168" s="215"/>
      <c r="M1168" s="311"/>
      <c r="N1168" s="311"/>
      <c r="O1168" s="311"/>
      <c r="P1168" s="311"/>
      <c r="Q1168" s="28"/>
      <c r="R1168" s="265"/>
      <c r="S1168" s="168"/>
      <c r="T1168" s="7"/>
    </row>
    <row r="1169" spans="1:20" s="169" customFormat="1" ht="15" customHeight="1">
      <c r="A1169" s="23"/>
      <c r="B1169" s="23"/>
      <c r="C1169" s="88"/>
      <c r="D1169" s="942"/>
      <c r="E1169" s="978"/>
      <c r="F1169" s="926"/>
      <c r="G1169" s="919"/>
      <c r="H1169" s="998"/>
      <c r="I1169" s="20" t="s">
        <v>1028</v>
      </c>
      <c r="J1169" s="63">
        <v>45000</v>
      </c>
      <c r="K1169" s="220" t="s">
        <v>20</v>
      </c>
      <c r="L1169" s="224">
        <v>25</v>
      </c>
      <c r="M1169" s="220" t="s">
        <v>915</v>
      </c>
      <c r="N1169" s="220"/>
      <c r="O1169" s="220"/>
      <c r="P1169" s="220"/>
      <c r="Q1169" s="20" t="s">
        <v>22</v>
      </c>
      <c r="R1169" s="68">
        <f>J1169*L1169</f>
        <v>1125000</v>
      </c>
      <c r="S1169" s="168"/>
      <c r="T1169" s="7"/>
    </row>
    <row r="1170" spans="1:20" s="169" customFormat="1" ht="15" customHeight="1">
      <c r="A1170" s="23"/>
      <c r="B1170" s="23"/>
      <c r="C1170" s="88"/>
      <c r="D1170" s="942"/>
      <c r="E1170" s="978"/>
      <c r="F1170" s="926"/>
      <c r="G1170" s="919"/>
      <c r="H1170" s="998"/>
      <c r="I1170" s="20" t="s">
        <v>1029</v>
      </c>
      <c r="J1170" s="63">
        <v>6500</v>
      </c>
      <c r="K1170" s="220" t="s">
        <v>20</v>
      </c>
      <c r="L1170" s="224">
        <v>60</v>
      </c>
      <c r="M1170" s="220" t="s">
        <v>1025</v>
      </c>
      <c r="N1170" s="220"/>
      <c r="O1170" s="220"/>
      <c r="P1170" s="220"/>
      <c r="Q1170" s="20" t="s">
        <v>22</v>
      </c>
      <c r="R1170" s="68">
        <f>J1170*L1170</f>
        <v>390000</v>
      </c>
      <c r="S1170" s="168"/>
      <c r="T1170" s="7"/>
    </row>
    <row r="1171" spans="1:20" s="169" customFormat="1" ht="15" customHeight="1">
      <c r="A1171" s="23"/>
      <c r="B1171" s="23"/>
      <c r="C1171" s="88"/>
      <c r="D1171" s="942"/>
      <c r="E1171" s="978"/>
      <c r="F1171" s="926"/>
      <c r="G1171" s="919"/>
      <c r="H1171" s="998"/>
      <c r="I1171" s="20" t="s">
        <v>1030</v>
      </c>
      <c r="J1171" s="63">
        <v>5000</v>
      </c>
      <c r="K1171" s="220" t="s">
        <v>20</v>
      </c>
      <c r="L1171" s="224">
        <v>25</v>
      </c>
      <c r="M1171" s="220" t="s">
        <v>1025</v>
      </c>
      <c r="N1171" s="220"/>
      <c r="O1171" s="220"/>
      <c r="P1171" s="220"/>
      <c r="Q1171" s="20" t="s">
        <v>22</v>
      </c>
      <c r="R1171" s="68">
        <f>J1171*L1171</f>
        <v>125000</v>
      </c>
      <c r="S1171" s="168"/>
      <c r="T1171" s="7"/>
    </row>
    <row r="1172" spans="1:20" s="169" customFormat="1" ht="15" customHeight="1">
      <c r="A1172" s="23"/>
      <c r="B1172" s="23"/>
      <c r="C1172" s="88"/>
      <c r="D1172" s="942"/>
      <c r="E1172" s="978"/>
      <c r="F1172" s="926"/>
      <c r="G1172" s="919"/>
      <c r="H1172" s="998"/>
      <c r="I1172" s="20" t="s">
        <v>1031</v>
      </c>
      <c r="J1172" s="63">
        <v>6000</v>
      </c>
      <c r="K1172" s="220" t="s">
        <v>20</v>
      </c>
      <c r="L1172" s="224">
        <v>50</v>
      </c>
      <c r="M1172" s="220" t="s">
        <v>1025</v>
      </c>
      <c r="N1172" s="220"/>
      <c r="O1172" s="220"/>
      <c r="P1172" s="220"/>
      <c r="Q1172" s="20" t="s">
        <v>22</v>
      </c>
      <c r="R1172" s="68">
        <f>J1172*L1172</f>
        <v>300000</v>
      </c>
      <c r="S1172" s="168"/>
      <c r="T1172" s="7"/>
    </row>
    <row r="1173" spans="1:20" s="169" customFormat="1" ht="15" customHeight="1">
      <c r="A1173" s="23"/>
      <c r="B1173" s="23"/>
      <c r="C1173" s="88"/>
      <c r="D1173" s="942"/>
      <c r="E1173" s="978"/>
      <c r="F1173" s="926"/>
      <c r="G1173" s="919"/>
      <c r="H1173" s="998"/>
      <c r="I1173" s="20" t="s">
        <v>1032</v>
      </c>
      <c r="J1173" s="63">
        <v>14000</v>
      </c>
      <c r="K1173" s="220" t="s">
        <v>20</v>
      </c>
      <c r="L1173" s="224">
        <v>450</v>
      </c>
      <c r="M1173" s="220" t="s">
        <v>1025</v>
      </c>
      <c r="N1173" s="220"/>
      <c r="O1173" s="220"/>
      <c r="P1173" s="220"/>
      <c r="Q1173" s="20" t="s">
        <v>22</v>
      </c>
      <c r="R1173" s="68">
        <f>J1173*L1173</f>
        <v>6300000</v>
      </c>
      <c r="S1173" s="168"/>
      <c r="T1173" s="7"/>
    </row>
    <row r="1174" spans="1:20" s="169" customFormat="1" ht="15" customHeight="1">
      <c r="A1174" s="23"/>
      <c r="B1174" s="23"/>
      <c r="C1174" s="88"/>
      <c r="D1174" s="942"/>
      <c r="E1174" s="978"/>
      <c r="F1174" s="926"/>
      <c r="G1174" s="919"/>
      <c r="H1174" s="998"/>
      <c r="I1174" s="20" t="s">
        <v>491</v>
      </c>
      <c r="J1174" s="63"/>
      <c r="K1174" s="220"/>
      <c r="L1174" s="224"/>
      <c r="M1174" s="220"/>
      <c r="N1174" s="220"/>
      <c r="O1174" s="220"/>
      <c r="P1174" s="220"/>
      <c r="Q1174" s="20"/>
      <c r="R1174" s="68"/>
      <c r="S1174" s="168"/>
      <c r="T1174" s="7"/>
    </row>
    <row r="1175" spans="1:20" s="169" customFormat="1" ht="15" customHeight="1">
      <c r="A1175" s="23"/>
      <c r="B1175" s="23"/>
      <c r="C1175" s="88"/>
      <c r="D1175" s="942"/>
      <c r="E1175" s="978"/>
      <c r="F1175" s="926"/>
      <c r="G1175" s="919"/>
      <c r="H1175" s="998"/>
      <c r="I1175" s="20" t="s">
        <v>1026</v>
      </c>
      <c r="J1175" s="63">
        <v>200000</v>
      </c>
      <c r="K1175" s="220" t="s">
        <v>20</v>
      </c>
      <c r="L1175" s="224">
        <v>1</v>
      </c>
      <c r="M1175" s="220" t="s">
        <v>487</v>
      </c>
      <c r="N1175" s="220"/>
      <c r="O1175" s="220"/>
      <c r="P1175" s="220"/>
      <c r="Q1175" s="20" t="s">
        <v>22</v>
      </c>
      <c r="R1175" s="68">
        <f>J1175*L1175</f>
        <v>200000</v>
      </c>
      <c r="S1175" s="168"/>
      <c r="T1175" s="7"/>
    </row>
    <row r="1176" spans="1:20" s="169" customFormat="1" ht="15" customHeight="1">
      <c r="A1176" s="23"/>
      <c r="B1176" s="23"/>
      <c r="C1176" s="88"/>
      <c r="D1176" s="942"/>
      <c r="E1176" s="978"/>
      <c r="F1176" s="926"/>
      <c r="G1176" s="919"/>
      <c r="H1176" s="998"/>
      <c r="I1176" s="20" t="s">
        <v>1027</v>
      </c>
      <c r="J1176" s="63">
        <v>200000</v>
      </c>
      <c r="K1176" s="220" t="s">
        <v>20</v>
      </c>
      <c r="L1176" s="224">
        <v>1</v>
      </c>
      <c r="M1176" s="220" t="s">
        <v>487</v>
      </c>
      <c r="N1176" s="220"/>
      <c r="O1176" s="220"/>
      <c r="P1176" s="220"/>
      <c r="Q1176" s="20" t="s">
        <v>22</v>
      </c>
      <c r="R1176" s="68">
        <f>J1176*L1176</f>
        <v>200000</v>
      </c>
      <c r="S1176" s="168"/>
      <c r="T1176" s="7"/>
    </row>
    <row r="1177" spans="1:20" s="169" customFormat="1" ht="15" customHeight="1">
      <c r="A1177" s="23"/>
      <c r="B1177" s="23"/>
      <c r="C1177" s="88"/>
      <c r="D1177" s="942"/>
      <c r="E1177" s="978"/>
      <c r="F1177" s="926"/>
      <c r="G1177" s="919"/>
      <c r="H1177" s="998"/>
      <c r="I1177" s="109" t="s">
        <v>492</v>
      </c>
      <c r="J1177" s="1035"/>
      <c r="K1177" s="1035"/>
      <c r="L1177" s="1035"/>
      <c r="M1177" s="1035"/>
      <c r="N1177" s="1035"/>
      <c r="O1177" s="1035"/>
      <c r="P1177" s="1035"/>
      <c r="Q1177" s="109"/>
      <c r="R1177" s="318">
        <f>1302627+648861</f>
        <v>1951488</v>
      </c>
      <c r="S1177" s="168"/>
      <c r="T1177" s="7"/>
    </row>
    <row r="1178" spans="1:20" s="169" customFormat="1" ht="15" customHeight="1">
      <c r="A1178" s="23"/>
      <c r="B1178" s="23"/>
      <c r="C1178" s="88"/>
      <c r="D1178" s="942"/>
      <c r="E1178" s="978">
        <v>10360</v>
      </c>
      <c r="F1178" s="1036">
        <f>T1179/1000</f>
        <v>10591.487999999999</v>
      </c>
      <c r="G1178" s="919"/>
      <c r="H1178" s="998"/>
      <c r="I1178" s="20"/>
      <c r="J1178" s="63"/>
      <c r="K1178" s="220"/>
      <c r="L1178" s="224"/>
      <c r="M1178" s="220"/>
      <c r="N1178" s="220"/>
      <c r="O1178" s="220"/>
      <c r="P1178" s="220"/>
      <c r="Q1178" s="20"/>
      <c r="R1178" s="68"/>
      <c r="S1178" s="168"/>
      <c r="T1178" s="7"/>
    </row>
    <row r="1179" spans="1:20" s="169" customFormat="1" ht="15" customHeight="1">
      <c r="A1179" s="23"/>
      <c r="B1179" s="23"/>
      <c r="C1179" s="230"/>
      <c r="D1179" s="994"/>
      <c r="E1179" s="978"/>
      <c r="F1179" s="1037"/>
      <c r="G1179" s="920"/>
      <c r="H1179" s="1013"/>
      <c r="I1179" s="18"/>
      <c r="J1179" s="296"/>
      <c r="K1179" s="18"/>
      <c r="L1179" s="18"/>
      <c r="M1179" s="18"/>
      <c r="N1179" s="18"/>
      <c r="O1179" s="18"/>
      <c r="P1179" s="18"/>
      <c r="Q1179" s="18" t="s">
        <v>23</v>
      </c>
      <c r="R1179" s="170">
        <f>SUM(R1168:R1178)</f>
        <v>10591488</v>
      </c>
      <c r="S1179" s="168"/>
      <c r="T1179" s="7">
        <f>R1179-S1179</f>
        <v>10591488</v>
      </c>
    </row>
    <row r="1180" spans="1:20" s="169" customFormat="1" ht="15" customHeight="1">
      <c r="A1180" s="23"/>
      <c r="B1180" s="88"/>
      <c r="C1180" s="940" t="s">
        <v>493</v>
      </c>
      <c r="D1180" s="32"/>
      <c r="E1180" s="917">
        <v>0</v>
      </c>
      <c r="F1180" s="917">
        <f>SUM(F1183)</f>
        <v>0</v>
      </c>
      <c r="G1180" s="1025">
        <f>F1180+F1182-E1180-E1182</f>
        <v>0</v>
      </c>
      <c r="H1180" s="1040" t="e">
        <f>G1180/(E1180+E1182)</f>
        <v>#DIV/0!</v>
      </c>
      <c r="I1180" s="35"/>
      <c r="J1180" s="21"/>
      <c r="K1180" s="20"/>
      <c r="L1180" s="20"/>
      <c r="M1180" s="20"/>
      <c r="N1180" s="20"/>
      <c r="O1180" s="20"/>
      <c r="P1180" s="20"/>
      <c r="Q1180" s="20"/>
      <c r="R1180" s="171"/>
      <c r="S1180" s="168"/>
      <c r="T1180" s="7"/>
    </row>
    <row r="1181" spans="1:20" s="169" customFormat="1" ht="15" customHeight="1">
      <c r="A1181" s="23"/>
      <c r="B1181" s="88"/>
      <c r="C1181" s="940"/>
      <c r="D1181" s="32"/>
      <c r="E1181" s="918"/>
      <c r="F1181" s="918"/>
      <c r="G1181" s="1025"/>
      <c r="H1181" s="1040"/>
      <c r="I1181" s="35"/>
      <c r="J1181" s="21"/>
      <c r="K1181" s="20"/>
      <c r="L1181" s="20"/>
      <c r="M1181" s="20"/>
      <c r="N1181" s="20"/>
      <c r="O1181" s="20"/>
      <c r="P1181" s="20"/>
      <c r="Q1181" s="20"/>
      <c r="R1181" s="171"/>
      <c r="S1181" s="168"/>
      <c r="T1181" s="7"/>
    </row>
    <row r="1182" spans="1:20" s="169" customFormat="1" ht="15" customHeight="1">
      <c r="A1182" s="23"/>
      <c r="B1182" s="23"/>
      <c r="C1182" s="941"/>
      <c r="D1182" s="32"/>
      <c r="E1182" s="503">
        <f>E1186</f>
        <v>0</v>
      </c>
      <c r="F1182" s="503">
        <f>F1186</f>
        <v>0</v>
      </c>
      <c r="G1182" s="1026"/>
      <c r="H1182" s="1041"/>
      <c r="I1182" s="35"/>
      <c r="J1182" s="21"/>
      <c r="K1182" s="20"/>
      <c r="L1182" s="20"/>
      <c r="M1182" s="20"/>
      <c r="N1182" s="20"/>
      <c r="O1182" s="20"/>
      <c r="P1182" s="20"/>
      <c r="Q1182" s="20"/>
      <c r="R1182" s="171"/>
      <c r="S1182" s="168">
        <f>SUM(S1186)</f>
        <v>0</v>
      </c>
      <c r="T1182" s="168">
        <f>SUM(T1186)</f>
        <v>0</v>
      </c>
    </row>
    <row r="1183" spans="1:20" s="169" customFormat="1" ht="15" customHeight="1">
      <c r="A1183" s="23"/>
      <c r="B1183" s="23"/>
      <c r="C1183" s="88"/>
      <c r="D1183" s="1016" t="s">
        <v>494</v>
      </c>
      <c r="E1183" s="1006">
        <v>0</v>
      </c>
      <c r="F1183" s="1006">
        <f>S1186/1000</f>
        <v>0</v>
      </c>
      <c r="G1183" s="927">
        <f>F1183+F1186-E1183-E1186</f>
        <v>0</v>
      </c>
      <c r="H1183" s="1042" t="e">
        <f>G1183/(E1183+E1186)</f>
        <v>#DIV/0!</v>
      </c>
      <c r="I1183" s="28"/>
      <c r="J1183" s="156"/>
      <c r="K1183" s="28"/>
      <c r="L1183" s="28"/>
      <c r="M1183" s="28"/>
      <c r="N1183" s="28"/>
      <c r="O1183" s="28"/>
      <c r="P1183" s="28"/>
      <c r="Q1183" s="28"/>
      <c r="R1183" s="293"/>
      <c r="S1183" s="168"/>
      <c r="T1183" s="7"/>
    </row>
    <row r="1184" spans="1:20" s="169" customFormat="1" ht="15" customHeight="1">
      <c r="A1184" s="23"/>
      <c r="B1184" s="23"/>
      <c r="C1184" s="88"/>
      <c r="D1184" s="1017"/>
      <c r="E1184" s="1004"/>
      <c r="F1184" s="1004"/>
      <c r="G1184" s="919"/>
      <c r="H1184" s="1043"/>
      <c r="I1184" s="20"/>
      <c r="J1184" s="63"/>
      <c r="K1184" s="20"/>
      <c r="L1184" s="20"/>
      <c r="M1184" s="20"/>
      <c r="N1184" s="20"/>
      <c r="O1184" s="20"/>
      <c r="P1184" s="20"/>
      <c r="Q1184" s="20"/>
      <c r="R1184" s="68"/>
      <c r="S1184" s="168"/>
      <c r="T1184" s="7"/>
    </row>
    <row r="1185" spans="1:20" s="169" customFormat="1" ht="15" customHeight="1">
      <c r="A1185" s="23"/>
      <c r="B1185" s="23"/>
      <c r="C1185" s="88"/>
      <c r="D1185" s="1017"/>
      <c r="E1185" s="1019"/>
      <c r="F1185" s="1019"/>
      <c r="G1185" s="919"/>
      <c r="H1185" s="1043"/>
      <c r="I1185" s="20"/>
      <c r="J1185" s="63"/>
      <c r="K1185" s="20"/>
      <c r="L1185" s="20"/>
      <c r="M1185" s="20"/>
      <c r="N1185" s="20"/>
      <c r="O1185" s="20"/>
      <c r="P1185" s="20"/>
      <c r="Q1185" s="20"/>
      <c r="R1185" s="68"/>
      <c r="S1185" s="168"/>
      <c r="T1185" s="7"/>
    </row>
    <row r="1186" spans="1:20" s="169" customFormat="1" ht="15" customHeight="1">
      <c r="A1186" s="23"/>
      <c r="B1186" s="23"/>
      <c r="C1186" s="88"/>
      <c r="D1186" s="1018"/>
      <c r="E1186" s="516">
        <v>0</v>
      </c>
      <c r="F1186" s="516">
        <f>T1186/1000</f>
        <v>0</v>
      </c>
      <c r="G1186" s="519"/>
      <c r="H1186" s="520"/>
      <c r="I1186" s="18"/>
      <c r="J1186" s="17"/>
      <c r="K1186" s="18"/>
      <c r="L1186" s="18"/>
      <c r="M1186" s="18"/>
      <c r="N1186" s="18"/>
      <c r="O1186" s="18"/>
      <c r="P1186" s="18"/>
      <c r="Q1186" s="18" t="s">
        <v>23</v>
      </c>
      <c r="R1186" s="170">
        <f>SUM(R1183:R1185)</f>
        <v>0</v>
      </c>
      <c r="S1186" s="168"/>
      <c r="T1186" s="7">
        <f>R1186-S1186</f>
        <v>0</v>
      </c>
    </row>
    <row r="1187" spans="1:20" s="169" customFormat="1" ht="15" customHeight="1">
      <c r="A1187" s="886" t="s">
        <v>495</v>
      </c>
      <c r="B1187" s="886" t="s">
        <v>495</v>
      </c>
      <c r="C1187" s="939" t="s">
        <v>495</v>
      </c>
      <c r="D1187" s="486"/>
      <c r="E1187" s="319">
        <v>0</v>
      </c>
      <c r="F1187" s="319">
        <f>S1188/1000</f>
        <v>0</v>
      </c>
      <c r="G1187" s="906">
        <f>F1187+F1188-E1187-E1188</f>
        <v>-124</v>
      </c>
      <c r="H1187" s="910">
        <f>G1187/(E1187+E1188)</f>
        <v>-1</v>
      </c>
      <c r="I1187" s="106" t="s">
        <v>496</v>
      </c>
      <c r="J1187" s="107"/>
      <c r="K1187" s="28"/>
      <c r="L1187" s="28"/>
      <c r="M1187" s="28"/>
      <c r="N1187" s="28"/>
      <c r="O1187" s="28"/>
      <c r="P1187" s="28"/>
      <c r="Q1187" s="28"/>
      <c r="R1187" s="320">
        <v>0</v>
      </c>
      <c r="S1187" s="168"/>
      <c r="T1187" s="7"/>
    </row>
    <row r="1188" spans="1:20" s="169" customFormat="1" ht="15" customHeight="1">
      <c r="A1188" s="887"/>
      <c r="B1188" s="887"/>
      <c r="C1188" s="941"/>
      <c r="D1188" s="488"/>
      <c r="E1188" s="321">
        <v>124</v>
      </c>
      <c r="F1188" s="321">
        <f>T1188/1000</f>
        <v>0</v>
      </c>
      <c r="G1188" s="907"/>
      <c r="H1188" s="915"/>
      <c r="I1188" s="16"/>
      <c r="J1188" s="17"/>
      <c r="K1188" s="18"/>
      <c r="L1188" s="18"/>
      <c r="M1188" s="18"/>
      <c r="N1188" s="18"/>
      <c r="O1188" s="18"/>
      <c r="P1188" s="18"/>
      <c r="Q1188" s="18" t="s">
        <v>23</v>
      </c>
      <c r="R1188" s="322">
        <f>R1187</f>
        <v>0</v>
      </c>
      <c r="S1188" s="168"/>
      <c r="T1188" s="7">
        <f>R1188-S1188</f>
        <v>0</v>
      </c>
    </row>
    <row r="1189" spans="1:20" s="169" customFormat="1" ht="15" customHeight="1">
      <c r="A1189" s="895" t="s">
        <v>497</v>
      </c>
      <c r="B1189" s="895" t="s">
        <v>497</v>
      </c>
      <c r="C1189" s="1038" t="s">
        <v>497</v>
      </c>
      <c r="D1189" s="486"/>
      <c r="E1189" s="525">
        <v>99</v>
      </c>
      <c r="F1189" s="525">
        <f>S1191/1000</f>
        <v>0</v>
      </c>
      <c r="G1189" s="906">
        <f>F1189+F1191-E1189-E1191</f>
        <v>-5021.6180000000004</v>
      </c>
      <c r="H1189" s="910">
        <f>G1189/(E1189+E1191)</f>
        <v>-0.46150335447109642</v>
      </c>
      <c r="I1189" s="551" t="s">
        <v>498</v>
      </c>
      <c r="J1189" s="21"/>
      <c r="K1189" s="20"/>
      <c r="L1189" s="20"/>
      <c r="M1189" s="20"/>
      <c r="N1189" s="20"/>
      <c r="O1189" s="20"/>
      <c r="P1189" s="20"/>
      <c r="Q1189" s="20" t="s">
        <v>490</v>
      </c>
      <c r="R1189" s="320">
        <v>1000000</v>
      </c>
      <c r="S1189" s="168"/>
      <c r="T1189" s="7"/>
    </row>
    <row r="1190" spans="1:20" s="169" customFormat="1" ht="15" customHeight="1">
      <c r="A1190" s="901"/>
      <c r="B1190" s="901"/>
      <c r="C1190" s="993"/>
      <c r="D1190" s="487"/>
      <c r="E1190" s="526"/>
      <c r="F1190" s="526"/>
      <c r="G1190" s="1039"/>
      <c r="H1190" s="911"/>
      <c r="I1190" s="35" t="s">
        <v>499</v>
      </c>
      <c r="J1190" s="21"/>
      <c r="K1190" s="20"/>
      <c r="L1190" s="20"/>
      <c r="M1190" s="20"/>
      <c r="N1190" s="20"/>
      <c r="O1190" s="20"/>
      <c r="P1190" s="20"/>
      <c r="Q1190" s="20" t="s">
        <v>490</v>
      </c>
      <c r="R1190" s="323">
        <f>250000+4609382</f>
        <v>4859382</v>
      </c>
      <c r="S1190" s="168"/>
      <c r="T1190" s="7"/>
    </row>
    <row r="1191" spans="1:20" s="169" customFormat="1" ht="15" customHeight="1">
      <c r="A1191" s="887"/>
      <c r="B1191" s="887"/>
      <c r="C1191" s="941"/>
      <c r="D1191" s="488"/>
      <c r="E1191" s="321">
        <v>10782</v>
      </c>
      <c r="F1191" s="321">
        <f>T1191/1000</f>
        <v>5859.3819999999996</v>
      </c>
      <c r="G1191" s="907"/>
      <c r="H1191" s="915"/>
      <c r="I1191" s="16"/>
      <c r="J1191" s="17"/>
      <c r="K1191" s="18"/>
      <c r="L1191" s="18"/>
      <c r="M1191" s="18"/>
      <c r="N1191" s="18"/>
      <c r="O1191" s="18"/>
      <c r="P1191" s="18"/>
      <c r="Q1191" s="18" t="s">
        <v>23</v>
      </c>
      <c r="R1191" s="213">
        <f>SUM(R1189:R1190)</f>
        <v>5859382</v>
      </c>
      <c r="S1191" s="168"/>
      <c r="T1191" s="7">
        <f>R1191-S1191</f>
        <v>5859382</v>
      </c>
    </row>
    <row r="1192" spans="1:20" s="169" customFormat="1" ht="15" customHeight="1">
      <c r="A1192" s="158"/>
      <c r="B1192" s="158"/>
      <c r="C1192" s="158"/>
      <c r="D1192" s="158"/>
      <c r="E1192" s="158"/>
      <c r="F1192" s="158"/>
      <c r="G1192" s="324"/>
      <c r="H1192" s="324"/>
      <c r="S1192" s="168"/>
      <c r="T1192" s="168"/>
    </row>
    <row r="1193" spans="1:20" s="169" customFormat="1" ht="15" customHeight="1">
      <c r="A1193" s="158"/>
      <c r="B1193" s="158"/>
      <c r="C1193" s="158"/>
      <c r="D1193" s="158"/>
      <c r="E1193" s="158"/>
      <c r="F1193" s="158"/>
      <c r="G1193" s="324"/>
      <c r="H1193" s="324"/>
      <c r="S1193" s="168"/>
      <c r="T1193" s="168"/>
    </row>
    <row r="1194" spans="1:20" s="169" customFormat="1" ht="15" customHeight="1">
      <c r="A1194" s="158"/>
      <c r="B1194" s="158"/>
      <c r="C1194" s="158"/>
      <c r="D1194" s="158"/>
      <c r="E1194" s="158"/>
      <c r="F1194" s="158"/>
      <c r="G1194" s="324"/>
      <c r="H1194" s="324"/>
      <c r="I1194" s="169" t="s">
        <v>845</v>
      </c>
      <c r="J1194" s="169" t="s">
        <v>846</v>
      </c>
      <c r="S1194" s="168"/>
      <c r="T1194" s="168"/>
    </row>
    <row r="1195" spans="1:20" s="169" customFormat="1" ht="15" customHeight="1">
      <c r="A1195" s="158"/>
      <c r="B1195" s="158"/>
      <c r="C1195" s="158"/>
      <c r="D1195" s="158"/>
      <c r="E1195" s="158"/>
      <c r="F1195" s="158"/>
      <c r="G1195" s="324"/>
      <c r="H1195" s="324"/>
      <c r="R1195" s="168"/>
      <c r="S1195" s="168"/>
      <c r="T1195" s="168"/>
    </row>
    <row r="1196" spans="1:20" s="169" customFormat="1" ht="15" customHeight="1">
      <c r="A1196" s="158"/>
      <c r="B1196" s="158"/>
      <c r="C1196" s="158"/>
      <c r="D1196" s="158"/>
      <c r="E1196" s="158"/>
      <c r="F1196" s="158"/>
      <c r="G1196" s="324"/>
      <c r="H1196" s="324"/>
      <c r="R1196" s="168"/>
      <c r="S1196" s="168"/>
      <c r="T1196" s="168"/>
    </row>
    <row r="1197" spans="1:20" s="169" customFormat="1" ht="15" customHeight="1">
      <c r="A1197" s="158"/>
      <c r="B1197" s="158"/>
      <c r="C1197" s="158"/>
      <c r="D1197" s="158"/>
      <c r="E1197" s="158"/>
      <c r="F1197" s="158"/>
      <c r="G1197" s="324"/>
      <c r="H1197" s="324"/>
      <c r="R1197" s="168"/>
      <c r="S1197" s="168"/>
      <c r="T1197" s="168"/>
    </row>
    <row r="1198" spans="1:20" s="169" customFormat="1" ht="15" customHeight="1">
      <c r="A1198" s="158"/>
      <c r="B1198" s="158"/>
      <c r="C1198" s="158"/>
      <c r="D1198" s="158"/>
      <c r="E1198" s="158"/>
      <c r="F1198" s="158"/>
      <c r="G1198" s="324"/>
      <c r="H1198" s="324"/>
      <c r="R1198" s="168"/>
      <c r="S1198" s="168"/>
      <c r="T1198" s="168"/>
    </row>
    <row r="1199" spans="1:20" s="169" customFormat="1" ht="15" customHeight="1">
      <c r="A1199" s="158"/>
      <c r="B1199" s="158"/>
      <c r="C1199" s="158"/>
      <c r="D1199" s="158"/>
      <c r="E1199" s="158"/>
      <c r="F1199" s="158"/>
      <c r="G1199" s="324"/>
      <c r="H1199" s="324"/>
      <c r="S1199" s="168"/>
      <c r="T1199" s="168"/>
    </row>
    <row r="1200" spans="1:20" s="169" customFormat="1" ht="15" customHeight="1">
      <c r="A1200" s="158"/>
      <c r="B1200" s="158"/>
      <c r="C1200" s="158"/>
      <c r="D1200" s="158"/>
      <c r="E1200" s="158"/>
      <c r="F1200" s="158"/>
      <c r="G1200" s="324"/>
      <c r="H1200" s="324"/>
      <c r="S1200" s="168"/>
      <c r="T1200" s="168"/>
    </row>
    <row r="1201" spans="1:20" s="169" customFormat="1" ht="15" customHeight="1">
      <c r="A1201" s="158"/>
      <c r="B1201" s="158"/>
      <c r="C1201" s="158"/>
      <c r="D1201" s="158"/>
      <c r="E1201" s="158"/>
      <c r="F1201" s="158"/>
      <c r="G1201" s="324"/>
      <c r="H1201" s="324"/>
      <c r="S1201" s="168"/>
      <c r="T1201" s="168"/>
    </row>
    <row r="1202" spans="1:20" s="169" customFormat="1" ht="15" customHeight="1">
      <c r="A1202" s="158"/>
      <c r="B1202" s="158"/>
      <c r="C1202" s="158"/>
      <c r="D1202" s="158"/>
      <c r="E1202" s="158"/>
      <c r="F1202" s="158"/>
      <c r="G1202" s="324"/>
      <c r="H1202" s="324"/>
      <c r="S1202" s="168"/>
      <c r="T1202" s="168"/>
    </row>
    <row r="1203" spans="1:20" s="169" customFormat="1" ht="15" customHeight="1">
      <c r="A1203" s="158"/>
      <c r="B1203" s="158"/>
      <c r="C1203" s="158"/>
      <c r="D1203" s="158"/>
      <c r="E1203" s="158"/>
      <c r="F1203" s="158"/>
      <c r="G1203" s="324"/>
      <c r="H1203" s="324"/>
      <c r="S1203" s="168"/>
      <c r="T1203" s="168"/>
    </row>
    <row r="1204" spans="1:20" s="169" customFormat="1" ht="17.25" customHeight="1">
      <c r="A1204" s="158"/>
      <c r="B1204" s="158"/>
      <c r="C1204" s="158"/>
      <c r="D1204" s="158"/>
      <c r="E1204" s="158"/>
      <c r="F1204" s="158"/>
      <c r="G1204" s="324"/>
      <c r="H1204" s="324"/>
      <c r="S1204" s="168"/>
      <c r="T1204" s="168"/>
    </row>
    <row r="1205" spans="1:20" s="169" customFormat="1" ht="17.25" customHeight="1">
      <c r="A1205" s="158"/>
      <c r="B1205" s="158"/>
      <c r="C1205" s="158"/>
      <c r="D1205" s="158"/>
      <c r="E1205" s="158"/>
      <c r="F1205" s="158"/>
      <c r="G1205" s="324"/>
      <c r="H1205" s="324"/>
      <c r="S1205" s="168"/>
      <c r="T1205" s="168"/>
    </row>
    <row r="1206" spans="1:20" s="169" customFormat="1" ht="17.25" customHeight="1">
      <c r="A1206" s="158"/>
      <c r="B1206" s="158"/>
      <c r="C1206" s="158"/>
      <c r="D1206" s="158"/>
      <c r="E1206" s="158"/>
      <c r="F1206" s="158"/>
      <c r="G1206" s="324"/>
      <c r="H1206" s="324"/>
      <c r="S1206" s="168"/>
      <c r="T1206" s="168"/>
    </row>
    <row r="1207" spans="1:20" s="169" customFormat="1" ht="17.25" customHeight="1">
      <c r="A1207" s="158"/>
      <c r="B1207" s="158"/>
      <c r="C1207" s="158"/>
      <c r="D1207" s="158"/>
      <c r="E1207" s="158"/>
      <c r="F1207" s="158"/>
      <c r="G1207" s="324"/>
      <c r="H1207" s="324"/>
      <c r="S1207" s="168"/>
      <c r="T1207" s="168"/>
    </row>
    <row r="1208" spans="1:20" s="169" customFormat="1" ht="15" customHeight="1">
      <c r="A1208" s="158"/>
      <c r="B1208" s="158"/>
      <c r="C1208" s="325"/>
      <c r="D1208" s="325"/>
      <c r="E1208" s="172"/>
      <c r="F1208" s="172"/>
      <c r="G1208" s="324"/>
      <c r="H1208" s="324"/>
      <c r="J1208" s="168"/>
      <c r="R1208" s="326"/>
      <c r="S1208" s="168"/>
      <c r="T1208" s="168"/>
    </row>
    <row r="1209" spans="1:20" s="169" customFormat="1" ht="15" customHeight="1">
      <c r="A1209" s="158"/>
      <c r="B1209" s="158"/>
      <c r="C1209" s="325"/>
      <c r="D1209" s="325"/>
      <c r="E1209" s="172"/>
      <c r="F1209" s="172"/>
      <c r="G1209" s="324"/>
      <c r="H1209" s="324"/>
      <c r="J1209" s="168"/>
      <c r="R1209" s="326"/>
      <c r="S1209" s="168"/>
      <c r="T1209" s="168"/>
    </row>
    <row r="1210" spans="1:20" s="169" customFormat="1" ht="15" customHeight="1">
      <c r="A1210" s="158"/>
      <c r="B1210" s="158"/>
      <c r="C1210" s="325"/>
      <c r="D1210" s="325"/>
      <c r="E1210" s="172"/>
      <c r="F1210" s="172"/>
      <c r="G1210" s="324"/>
      <c r="H1210" s="324"/>
      <c r="J1210" s="168"/>
      <c r="R1210" s="326"/>
      <c r="S1210" s="168"/>
      <c r="T1210" s="168"/>
    </row>
    <row r="1211" spans="1:20" s="169" customFormat="1" ht="15" customHeight="1">
      <c r="A1211" s="158"/>
      <c r="B1211" s="158"/>
      <c r="C1211" s="325"/>
      <c r="D1211" s="325"/>
      <c r="E1211" s="172"/>
      <c r="F1211" s="172"/>
      <c r="G1211" s="324"/>
      <c r="H1211" s="324"/>
      <c r="J1211" s="168"/>
      <c r="R1211" s="326"/>
      <c r="S1211" s="168"/>
      <c r="T1211" s="168"/>
    </row>
    <row r="1212" spans="1:20" s="169" customFormat="1" ht="15" customHeight="1">
      <c r="A1212" s="158"/>
      <c r="B1212" s="158"/>
      <c r="C1212" s="325"/>
      <c r="D1212" s="325"/>
      <c r="E1212" s="172"/>
      <c r="F1212" s="172"/>
      <c r="G1212" s="324"/>
      <c r="H1212" s="324"/>
      <c r="J1212" s="168"/>
      <c r="R1212" s="326"/>
      <c r="S1212" s="168"/>
      <c r="T1212" s="168"/>
    </row>
    <row r="1213" spans="1:20" s="169" customFormat="1" ht="15" customHeight="1">
      <c r="A1213" s="158"/>
      <c r="B1213" s="158"/>
      <c r="C1213" s="325"/>
      <c r="D1213" s="325"/>
      <c r="E1213" s="172"/>
      <c r="F1213" s="172"/>
      <c r="G1213" s="324"/>
      <c r="H1213" s="324"/>
      <c r="J1213" s="168"/>
      <c r="R1213" s="326"/>
      <c r="S1213" s="168"/>
      <c r="T1213" s="168"/>
    </row>
    <row r="1214" spans="1:20" s="169" customFormat="1" ht="15" customHeight="1">
      <c r="A1214" s="158"/>
      <c r="B1214" s="158"/>
      <c r="C1214" s="325"/>
      <c r="D1214" s="325"/>
      <c r="E1214" s="172"/>
      <c r="F1214" s="172"/>
      <c r="G1214" s="324"/>
      <c r="H1214" s="324"/>
      <c r="J1214" s="168"/>
      <c r="R1214" s="326"/>
      <c r="S1214" s="168"/>
      <c r="T1214" s="168"/>
    </row>
    <row r="1215" spans="1:20" s="169" customFormat="1" ht="15" customHeight="1">
      <c r="A1215" s="158"/>
      <c r="B1215" s="158"/>
      <c r="C1215" s="325"/>
      <c r="D1215" s="325"/>
      <c r="E1215" s="172"/>
      <c r="F1215" s="172"/>
      <c r="G1215" s="324"/>
      <c r="H1215" s="324"/>
      <c r="J1215" s="168"/>
      <c r="R1215" s="326"/>
      <c r="S1215" s="168"/>
      <c r="T1215" s="168"/>
    </row>
    <row r="1216" spans="1:20" s="169" customFormat="1" ht="15" customHeight="1">
      <c r="A1216" s="158"/>
      <c r="B1216" s="158"/>
      <c r="C1216" s="325"/>
      <c r="D1216" s="325"/>
      <c r="E1216" s="172"/>
      <c r="F1216" s="172"/>
      <c r="G1216" s="324"/>
      <c r="H1216" s="324"/>
      <c r="J1216" s="168"/>
      <c r="R1216" s="326"/>
      <c r="S1216" s="168"/>
      <c r="T1216" s="168"/>
    </row>
    <row r="1217" spans="1:20" s="169" customFormat="1" ht="15" customHeight="1">
      <c r="A1217" s="158"/>
      <c r="B1217" s="158"/>
      <c r="C1217" s="325"/>
      <c r="D1217" s="325"/>
      <c r="E1217" s="172"/>
      <c r="F1217" s="172"/>
      <c r="G1217" s="324"/>
      <c r="H1217" s="324"/>
      <c r="J1217" s="168"/>
      <c r="R1217" s="326"/>
      <c r="S1217" s="168"/>
      <c r="T1217" s="168"/>
    </row>
    <row r="1218" spans="1:20" s="169" customFormat="1" ht="15" customHeight="1">
      <c r="A1218" s="158"/>
      <c r="B1218" s="158"/>
      <c r="C1218" s="325"/>
      <c r="D1218" s="325"/>
      <c r="E1218" s="172"/>
      <c r="F1218" s="172"/>
      <c r="G1218" s="324"/>
      <c r="H1218" s="324"/>
      <c r="J1218" s="168"/>
      <c r="R1218" s="326"/>
      <c r="S1218" s="168"/>
      <c r="T1218" s="168"/>
    </row>
    <row r="1219" spans="1:20" s="169" customFormat="1" ht="15" customHeight="1">
      <c r="A1219" s="158"/>
      <c r="B1219" s="158"/>
      <c r="C1219" s="325"/>
      <c r="D1219" s="325"/>
      <c r="E1219" s="172"/>
      <c r="F1219" s="172"/>
      <c r="G1219" s="324"/>
      <c r="H1219" s="324"/>
      <c r="J1219" s="168"/>
      <c r="R1219" s="326"/>
      <c r="S1219" s="168"/>
      <c r="T1219" s="168"/>
    </row>
    <row r="1220" spans="1:20" s="169" customFormat="1" ht="15" customHeight="1">
      <c r="A1220" s="158"/>
      <c r="B1220" s="158"/>
      <c r="C1220" s="325"/>
      <c r="D1220" s="325"/>
      <c r="E1220" s="172"/>
      <c r="F1220" s="172"/>
      <c r="G1220" s="324"/>
      <c r="H1220" s="324"/>
      <c r="J1220" s="168"/>
      <c r="R1220" s="326"/>
      <c r="S1220" s="168"/>
      <c r="T1220" s="168"/>
    </row>
    <row r="1221" spans="1:20" s="169" customFormat="1" ht="15" customHeight="1">
      <c r="A1221" s="158"/>
      <c r="B1221" s="158"/>
      <c r="C1221" s="325"/>
      <c r="D1221" s="325"/>
      <c r="E1221" s="172"/>
      <c r="F1221" s="172"/>
      <c r="G1221" s="324"/>
      <c r="H1221" s="324"/>
      <c r="J1221" s="168"/>
      <c r="R1221" s="326"/>
      <c r="S1221" s="168"/>
      <c r="T1221" s="168"/>
    </row>
    <row r="1222" spans="1:20" s="169" customFormat="1" ht="15" customHeight="1">
      <c r="A1222" s="158"/>
      <c r="B1222" s="158"/>
      <c r="C1222" s="325"/>
      <c r="D1222" s="325"/>
      <c r="E1222" s="172"/>
      <c r="F1222" s="172"/>
      <c r="G1222" s="324"/>
      <c r="H1222" s="324"/>
      <c r="J1222" s="168"/>
      <c r="R1222" s="326"/>
      <c r="S1222" s="168"/>
      <c r="T1222" s="168"/>
    </row>
    <row r="1223" spans="1:20" s="169" customFormat="1" ht="15" customHeight="1">
      <c r="A1223" s="158"/>
      <c r="B1223" s="158"/>
      <c r="C1223" s="325"/>
      <c r="D1223" s="325"/>
      <c r="E1223" s="172"/>
      <c r="F1223" s="172"/>
      <c r="G1223" s="324"/>
      <c r="H1223" s="324"/>
      <c r="J1223" s="168"/>
      <c r="R1223" s="326"/>
      <c r="S1223" s="168"/>
      <c r="T1223" s="168"/>
    </row>
    <row r="1224" spans="1:20" s="169" customFormat="1" ht="15" customHeight="1">
      <c r="A1224" s="158"/>
      <c r="B1224" s="158"/>
      <c r="C1224" s="325"/>
      <c r="D1224" s="325"/>
      <c r="E1224" s="172"/>
      <c r="F1224" s="172"/>
      <c r="G1224" s="324"/>
      <c r="H1224" s="324"/>
      <c r="J1224" s="168"/>
      <c r="R1224" s="326"/>
      <c r="S1224" s="168"/>
      <c r="T1224" s="168"/>
    </row>
    <row r="1225" spans="1:20" s="169" customFormat="1" ht="15" customHeight="1">
      <c r="A1225" s="158"/>
      <c r="B1225" s="158"/>
      <c r="C1225" s="325"/>
      <c r="D1225" s="325"/>
      <c r="E1225" s="172"/>
      <c r="F1225" s="172"/>
      <c r="G1225" s="324"/>
      <c r="H1225" s="324"/>
      <c r="J1225" s="168"/>
      <c r="R1225" s="326"/>
      <c r="S1225" s="168"/>
      <c r="T1225" s="168"/>
    </row>
    <row r="1226" spans="1:20" s="169" customFormat="1" ht="15" customHeight="1">
      <c r="A1226" s="158"/>
      <c r="B1226" s="158"/>
      <c r="C1226" s="325"/>
      <c r="D1226" s="325"/>
      <c r="E1226" s="172"/>
      <c r="F1226" s="172"/>
      <c r="G1226" s="324"/>
      <c r="H1226" s="324"/>
      <c r="J1226" s="168"/>
      <c r="R1226" s="326"/>
      <c r="S1226" s="168"/>
      <c r="T1226" s="168"/>
    </row>
    <row r="1227" spans="1:20" s="169" customFormat="1" ht="15" customHeight="1">
      <c r="A1227" s="158"/>
      <c r="B1227" s="158"/>
      <c r="C1227" s="325"/>
      <c r="D1227" s="325"/>
      <c r="E1227" s="172"/>
      <c r="F1227" s="172"/>
      <c r="G1227" s="324"/>
      <c r="H1227" s="324"/>
      <c r="J1227" s="168"/>
      <c r="R1227" s="326"/>
      <c r="S1227" s="168"/>
      <c r="T1227" s="168"/>
    </row>
    <row r="1228" spans="1:20" s="169" customFormat="1" ht="15" customHeight="1">
      <c r="A1228" s="158"/>
      <c r="B1228" s="158"/>
      <c r="C1228" s="325"/>
      <c r="D1228" s="325"/>
      <c r="E1228" s="172"/>
      <c r="F1228" s="172"/>
      <c r="G1228" s="324"/>
      <c r="H1228" s="324"/>
      <c r="J1228" s="168"/>
      <c r="R1228" s="326"/>
      <c r="S1228" s="168"/>
      <c r="T1228" s="168"/>
    </row>
    <row r="1229" spans="1:20" s="169" customFormat="1" ht="15" customHeight="1">
      <c r="A1229" s="158"/>
      <c r="B1229" s="158"/>
      <c r="C1229" s="325"/>
      <c r="D1229" s="325"/>
      <c r="E1229" s="172"/>
      <c r="F1229" s="172"/>
      <c r="G1229" s="324"/>
      <c r="H1229" s="324"/>
      <c r="J1229" s="168"/>
      <c r="R1229" s="326"/>
      <c r="S1229" s="168"/>
      <c r="T1229" s="168"/>
    </row>
    <row r="1230" spans="1:20" s="169" customFormat="1" ht="15" customHeight="1">
      <c r="A1230" s="158"/>
      <c r="B1230" s="158"/>
      <c r="C1230" s="325"/>
      <c r="D1230" s="325"/>
      <c r="E1230" s="172"/>
      <c r="F1230" s="172"/>
      <c r="G1230" s="324"/>
      <c r="H1230" s="324"/>
      <c r="J1230" s="168"/>
      <c r="R1230" s="326"/>
      <c r="S1230" s="168"/>
      <c r="T1230" s="168"/>
    </row>
    <row r="1231" spans="1:20" s="169" customFormat="1" ht="15" customHeight="1">
      <c r="A1231" s="158"/>
      <c r="B1231" s="158"/>
      <c r="C1231" s="325"/>
      <c r="D1231" s="325"/>
      <c r="E1231" s="172"/>
      <c r="F1231" s="172"/>
      <c r="G1231" s="324"/>
      <c r="H1231" s="324"/>
      <c r="J1231" s="168"/>
      <c r="R1231" s="326"/>
      <c r="S1231" s="168"/>
      <c r="T1231" s="168"/>
    </row>
    <row r="1232" spans="1:20" s="169" customFormat="1" ht="15" customHeight="1">
      <c r="A1232" s="158"/>
      <c r="B1232" s="158"/>
      <c r="C1232" s="325"/>
      <c r="D1232" s="325"/>
      <c r="E1232" s="172"/>
      <c r="F1232" s="172"/>
      <c r="G1232" s="324"/>
      <c r="H1232" s="324"/>
      <c r="J1232" s="168"/>
      <c r="R1232" s="326"/>
      <c r="S1232" s="168"/>
      <c r="T1232" s="168"/>
    </row>
    <row r="1233" spans="1:20" s="169" customFormat="1" ht="15" customHeight="1">
      <c r="A1233" s="158"/>
      <c r="B1233" s="158"/>
      <c r="C1233" s="325"/>
      <c r="D1233" s="325"/>
      <c r="E1233" s="172"/>
      <c r="F1233" s="172"/>
      <c r="G1233" s="324"/>
      <c r="H1233" s="324"/>
      <c r="J1233" s="168"/>
      <c r="R1233" s="326"/>
      <c r="S1233" s="168"/>
      <c r="T1233" s="168"/>
    </row>
    <row r="1234" spans="1:20" s="169" customFormat="1" ht="15" customHeight="1">
      <c r="A1234" s="158"/>
      <c r="B1234" s="158"/>
      <c r="C1234" s="325"/>
      <c r="D1234" s="325"/>
      <c r="E1234" s="172"/>
      <c r="F1234" s="172"/>
      <c r="G1234" s="324"/>
      <c r="H1234" s="324"/>
      <c r="J1234" s="168"/>
      <c r="R1234" s="326"/>
      <c r="S1234" s="168"/>
      <c r="T1234" s="168"/>
    </row>
    <row r="1235" spans="1:20" s="169" customFormat="1" ht="15" customHeight="1">
      <c r="A1235" s="158"/>
      <c r="B1235" s="158"/>
      <c r="C1235" s="325"/>
      <c r="D1235" s="325"/>
      <c r="E1235" s="172"/>
      <c r="F1235" s="172"/>
      <c r="G1235" s="324"/>
      <c r="H1235" s="324"/>
      <c r="J1235" s="168"/>
      <c r="R1235" s="326"/>
      <c r="S1235" s="168"/>
      <c r="T1235" s="168"/>
    </row>
    <row r="1236" spans="1:20" s="169" customFormat="1" ht="15" customHeight="1">
      <c r="A1236" s="158"/>
      <c r="B1236" s="158"/>
      <c r="C1236" s="325"/>
      <c r="D1236" s="325"/>
      <c r="E1236" s="172"/>
      <c r="F1236" s="172"/>
      <c r="G1236" s="324"/>
      <c r="H1236" s="324"/>
      <c r="J1236" s="168"/>
      <c r="R1236" s="326"/>
      <c r="S1236" s="168"/>
      <c r="T1236" s="168"/>
    </row>
    <row r="1237" spans="1:20" s="169" customFormat="1" ht="15" customHeight="1">
      <c r="A1237" s="158"/>
      <c r="B1237" s="158"/>
      <c r="C1237" s="325"/>
      <c r="D1237" s="325"/>
      <c r="E1237" s="172"/>
      <c r="F1237" s="172"/>
      <c r="G1237" s="324"/>
      <c r="H1237" s="324"/>
      <c r="J1237" s="168"/>
      <c r="R1237" s="326"/>
      <c r="S1237" s="168"/>
      <c r="T1237" s="168"/>
    </row>
    <row r="1238" spans="1:20" s="169" customFormat="1" ht="15" customHeight="1">
      <c r="A1238" s="158"/>
      <c r="B1238" s="158"/>
      <c r="C1238" s="325"/>
      <c r="D1238" s="325"/>
      <c r="E1238" s="172"/>
      <c r="F1238" s="172"/>
      <c r="G1238" s="324"/>
      <c r="H1238" s="324"/>
      <c r="J1238" s="168"/>
      <c r="R1238" s="326"/>
      <c r="S1238" s="168"/>
      <c r="T1238" s="168"/>
    </row>
    <row r="1239" spans="1:20" s="169" customFormat="1" ht="15" customHeight="1">
      <c r="A1239" s="158"/>
      <c r="B1239" s="158"/>
      <c r="C1239" s="325"/>
      <c r="D1239" s="325"/>
      <c r="E1239" s="172"/>
      <c r="F1239" s="172"/>
      <c r="G1239" s="324"/>
      <c r="H1239" s="324"/>
      <c r="J1239" s="168"/>
      <c r="R1239" s="326"/>
      <c r="S1239" s="168"/>
      <c r="T1239" s="168"/>
    </row>
    <row r="1240" spans="1:20" s="169" customFormat="1" ht="15" customHeight="1">
      <c r="A1240" s="158"/>
      <c r="B1240" s="158"/>
      <c r="C1240" s="325"/>
      <c r="D1240" s="325"/>
      <c r="E1240" s="172"/>
      <c r="F1240" s="172"/>
      <c r="G1240" s="324"/>
      <c r="H1240" s="324"/>
      <c r="J1240" s="168"/>
      <c r="R1240" s="326"/>
      <c r="S1240" s="168"/>
      <c r="T1240" s="168"/>
    </row>
    <row r="1241" spans="1:20" s="169" customFormat="1" ht="15" customHeight="1">
      <c r="A1241" s="158"/>
      <c r="B1241" s="158"/>
      <c r="C1241" s="325"/>
      <c r="D1241" s="325"/>
      <c r="E1241" s="172"/>
      <c r="F1241" s="172"/>
      <c r="G1241" s="324"/>
      <c r="H1241" s="324"/>
      <c r="J1241" s="168"/>
      <c r="R1241" s="326"/>
      <c r="S1241" s="168"/>
      <c r="T1241" s="168"/>
    </row>
    <row r="1242" spans="1:20" s="169" customFormat="1" ht="15" customHeight="1">
      <c r="A1242" s="158"/>
      <c r="B1242" s="158"/>
      <c r="C1242" s="325"/>
      <c r="D1242" s="325"/>
      <c r="E1242" s="172"/>
      <c r="F1242" s="172"/>
      <c r="G1242" s="324"/>
      <c r="H1242" s="324"/>
      <c r="J1242" s="168"/>
      <c r="R1242" s="326"/>
      <c r="S1242" s="168"/>
      <c r="T1242" s="168"/>
    </row>
    <row r="1243" spans="1:20" s="169" customFormat="1" ht="15" customHeight="1">
      <c r="A1243" s="158"/>
      <c r="B1243" s="158"/>
      <c r="C1243" s="325"/>
      <c r="D1243" s="325"/>
      <c r="E1243" s="172"/>
      <c r="F1243" s="172"/>
      <c r="G1243" s="324"/>
      <c r="H1243" s="324"/>
      <c r="J1243" s="168"/>
      <c r="R1243" s="326"/>
      <c r="S1243" s="168"/>
      <c r="T1243" s="168"/>
    </row>
    <row r="1244" spans="1:20" s="169" customFormat="1" ht="15" customHeight="1">
      <c r="A1244" s="158"/>
      <c r="B1244" s="158"/>
      <c r="C1244" s="325"/>
      <c r="D1244" s="325"/>
      <c r="E1244" s="172"/>
      <c r="F1244" s="172"/>
      <c r="G1244" s="324"/>
      <c r="H1244" s="324"/>
      <c r="J1244" s="168"/>
      <c r="R1244" s="326"/>
      <c r="S1244" s="168"/>
      <c r="T1244" s="168"/>
    </row>
    <row r="1245" spans="1:20" s="169" customFormat="1" ht="15" customHeight="1">
      <c r="A1245" s="158"/>
      <c r="B1245" s="158"/>
      <c r="C1245" s="325"/>
      <c r="D1245" s="325"/>
      <c r="E1245" s="172"/>
      <c r="F1245" s="172"/>
      <c r="G1245" s="324"/>
      <c r="H1245" s="324"/>
      <c r="J1245" s="168"/>
      <c r="R1245" s="326"/>
      <c r="S1245" s="168"/>
      <c r="T1245" s="168"/>
    </row>
    <row r="1246" spans="1:20" s="169" customFormat="1" ht="15" customHeight="1">
      <c r="A1246" s="158"/>
      <c r="B1246" s="158"/>
      <c r="C1246" s="325"/>
      <c r="D1246" s="325"/>
      <c r="E1246" s="172"/>
      <c r="F1246" s="172"/>
      <c r="G1246" s="324"/>
      <c r="H1246" s="324"/>
      <c r="J1246" s="168"/>
      <c r="R1246" s="326"/>
      <c r="S1246" s="168"/>
      <c r="T1246" s="168"/>
    </row>
    <row r="1247" spans="1:20" s="169" customFormat="1" ht="15" customHeight="1">
      <c r="A1247" s="158"/>
      <c r="B1247" s="158"/>
      <c r="C1247" s="325"/>
      <c r="D1247" s="325"/>
      <c r="E1247" s="172"/>
      <c r="F1247" s="172"/>
      <c r="G1247" s="324"/>
      <c r="H1247" s="324"/>
      <c r="J1247" s="168"/>
      <c r="R1247" s="326"/>
      <c r="S1247" s="168"/>
      <c r="T1247" s="168"/>
    </row>
    <row r="1248" spans="1:20" s="169" customFormat="1" ht="15" customHeight="1">
      <c r="A1248" s="158"/>
      <c r="B1248" s="158"/>
      <c r="C1248" s="325"/>
      <c r="D1248" s="325"/>
      <c r="E1248" s="172"/>
      <c r="F1248" s="172"/>
      <c r="G1248" s="324"/>
      <c r="H1248" s="324"/>
      <c r="J1248" s="168"/>
      <c r="R1248" s="326"/>
      <c r="S1248" s="168"/>
      <c r="T1248" s="168"/>
    </row>
    <row r="1249" spans="1:20" s="169" customFormat="1" ht="15" customHeight="1">
      <c r="A1249" s="158"/>
      <c r="B1249" s="158"/>
      <c r="C1249" s="325"/>
      <c r="D1249" s="325"/>
      <c r="E1249" s="172"/>
      <c r="F1249" s="172"/>
      <c r="G1249" s="324"/>
      <c r="H1249" s="324"/>
      <c r="J1249" s="168"/>
      <c r="R1249" s="326"/>
      <c r="S1249" s="168"/>
      <c r="T1249" s="168"/>
    </row>
    <row r="1250" spans="1:20" s="169" customFormat="1" ht="15" customHeight="1">
      <c r="A1250" s="158"/>
      <c r="B1250" s="158"/>
      <c r="C1250" s="325"/>
      <c r="D1250" s="325"/>
      <c r="E1250" s="172"/>
      <c r="F1250" s="172"/>
      <c r="G1250" s="324"/>
      <c r="H1250" s="324"/>
      <c r="J1250" s="168"/>
      <c r="R1250" s="326"/>
      <c r="S1250" s="168"/>
      <c r="T1250" s="168"/>
    </row>
    <row r="1251" spans="1:20" s="169" customFormat="1" ht="15" customHeight="1">
      <c r="A1251" s="158"/>
      <c r="B1251" s="158"/>
      <c r="C1251" s="325"/>
      <c r="D1251" s="325"/>
      <c r="E1251" s="172"/>
      <c r="F1251" s="172"/>
      <c r="G1251" s="324"/>
      <c r="H1251" s="324"/>
      <c r="J1251" s="168"/>
      <c r="R1251" s="326"/>
      <c r="S1251" s="168"/>
      <c r="T1251" s="168"/>
    </row>
    <row r="1252" spans="1:20" s="169" customFormat="1" ht="15" customHeight="1">
      <c r="A1252" s="158"/>
      <c r="B1252" s="158"/>
      <c r="C1252" s="325"/>
      <c r="D1252" s="325"/>
      <c r="E1252" s="172"/>
      <c r="F1252" s="172"/>
      <c r="G1252" s="324"/>
      <c r="H1252" s="324"/>
      <c r="J1252" s="168"/>
      <c r="R1252" s="326"/>
      <c r="S1252" s="168"/>
      <c r="T1252" s="168"/>
    </row>
    <row r="1253" spans="1:20" s="169" customFormat="1" ht="15" customHeight="1">
      <c r="A1253" s="158"/>
      <c r="B1253" s="158"/>
      <c r="C1253" s="325"/>
      <c r="D1253" s="325"/>
      <c r="E1253" s="172"/>
      <c r="F1253" s="172"/>
      <c r="G1253" s="324"/>
      <c r="H1253" s="324"/>
      <c r="J1253" s="168"/>
      <c r="R1253" s="326"/>
      <c r="S1253" s="168"/>
      <c r="T1253" s="168"/>
    </row>
    <row r="1254" spans="1:20" s="169" customFormat="1" ht="15" customHeight="1">
      <c r="A1254" s="158"/>
      <c r="B1254" s="158"/>
      <c r="C1254" s="325"/>
      <c r="D1254" s="325"/>
      <c r="E1254" s="172"/>
      <c r="F1254" s="172"/>
      <c r="G1254" s="324"/>
      <c r="H1254" s="324"/>
      <c r="J1254" s="168"/>
      <c r="R1254" s="326"/>
      <c r="S1254" s="168"/>
      <c r="T1254" s="168"/>
    </row>
    <row r="1255" spans="1:20" s="169" customFormat="1" ht="15" customHeight="1">
      <c r="A1255" s="158"/>
      <c r="B1255" s="158"/>
      <c r="C1255" s="325"/>
      <c r="D1255" s="325"/>
      <c r="E1255" s="172"/>
      <c r="F1255" s="172"/>
      <c r="G1255" s="324"/>
      <c r="H1255" s="324"/>
      <c r="J1255" s="168"/>
      <c r="R1255" s="326"/>
      <c r="S1255" s="168"/>
      <c r="T1255" s="168"/>
    </row>
    <row r="1256" spans="1:20" s="169" customFormat="1" ht="15" customHeight="1">
      <c r="A1256" s="158"/>
      <c r="B1256" s="158"/>
      <c r="C1256" s="325"/>
      <c r="D1256" s="325"/>
      <c r="E1256" s="172"/>
      <c r="F1256" s="172"/>
      <c r="G1256" s="324"/>
      <c r="H1256" s="324"/>
      <c r="J1256" s="168"/>
      <c r="R1256" s="326"/>
      <c r="S1256" s="168"/>
      <c r="T1256" s="168"/>
    </row>
    <row r="1257" spans="1:20" s="169" customFormat="1" ht="15" customHeight="1">
      <c r="A1257" s="158"/>
      <c r="B1257" s="158"/>
      <c r="C1257" s="325"/>
      <c r="D1257" s="325"/>
      <c r="E1257" s="172"/>
      <c r="F1257" s="172"/>
      <c r="G1257" s="324"/>
      <c r="H1257" s="324"/>
      <c r="J1257" s="168"/>
      <c r="R1257" s="326"/>
      <c r="S1257" s="168"/>
      <c r="T1257" s="168"/>
    </row>
    <row r="1258" spans="1:20" s="169" customFormat="1" ht="15" customHeight="1">
      <c r="A1258" s="158"/>
      <c r="B1258" s="158"/>
      <c r="C1258" s="325"/>
      <c r="D1258" s="325"/>
      <c r="E1258" s="172"/>
      <c r="F1258" s="172"/>
      <c r="G1258" s="324"/>
      <c r="H1258" s="324"/>
      <c r="J1258" s="168"/>
      <c r="R1258" s="326"/>
      <c r="S1258" s="168"/>
      <c r="T1258" s="168"/>
    </row>
    <row r="1259" spans="1:20" s="169" customFormat="1" ht="15" customHeight="1">
      <c r="A1259" s="158"/>
      <c r="B1259" s="158"/>
      <c r="C1259" s="325"/>
      <c r="D1259" s="325"/>
      <c r="E1259" s="172"/>
      <c r="F1259" s="172"/>
      <c r="G1259" s="324"/>
      <c r="H1259" s="324"/>
      <c r="J1259" s="168"/>
      <c r="R1259" s="326"/>
      <c r="S1259" s="168"/>
      <c r="T1259" s="168"/>
    </row>
    <row r="1260" spans="1:20" s="169" customFormat="1" ht="15" customHeight="1">
      <c r="A1260" s="158"/>
      <c r="B1260" s="158"/>
      <c r="C1260" s="325"/>
      <c r="D1260" s="325"/>
      <c r="E1260" s="172"/>
      <c r="F1260" s="172"/>
      <c r="G1260" s="324"/>
      <c r="H1260" s="324"/>
      <c r="J1260" s="168"/>
      <c r="R1260" s="326"/>
      <c r="S1260" s="168"/>
      <c r="T1260" s="168"/>
    </row>
    <row r="1261" spans="1:20" s="169" customFormat="1" ht="15" customHeight="1">
      <c r="A1261" s="158"/>
      <c r="B1261" s="158"/>
      <c r="C1261" s="325"/>
      <c r="D1261" s="325"/>
      <c r="E1261" s="172"/>
      <c r="F1261" s="172"/>
      <c r="G1261" s="324"/>
      <c r="H1261" s="324"/>
      <c r="J1261" s="168"/>
      <c r="R1261" s="326"/>
      <c r="S1261" s="168"/>
      <c r="T1261" s="168"/>
    </row>
    <row r="1262" spans="1:20" s="169" customFormat="1" ht="15" customHeight="1">
      <c r="A1262" s="158"/>
      <c r="B1262" s="158"/>
      <c r="C1262" s="325"/>
      <c r="D1262" s="325"/>
      <c r="E1262" s="172"/>
      <c r="F1262" s="172"/>
      <c r="G1262" s="324"/>
      <c r="H1262" s="324"/>
      <c r="J1262" s="168"/>
      <c r="R1262" s="326"/>
      <c r="S1262" s="168"/>
      <c r="T1262" s="168"/>
    </row>
    <row r="1263" spans="1:20" s="169" customFormat="1" ht="15" customHeight="1">
      <c r="A1263" s="158"/>
      <c r="B1263" s="158"/>
      <c r="C1263" s="325"/>
      <c r="D1263" s="325"/>
      <c r="E1263" s="172"/>
      <c r="F1263" s="172"/>
      <c r="G1263" s="324"/>
      <c r="H1263" s="324"/>
      <c r="J1263" s="168"/>
      <c r="R1263" s="326"/>
      <c r="S1263" s="168"/>
      <c r="T1263" s="168"/>
    </row>
    <row r="1264" spans="1:20" s="169" customFormat="1" ht="15" customHeight="1">
      <c r="A1264" s="158"/>
      <c r="B1264" s="158"/>
      <c r="C1264" s="325"/>
      <c r="D1264" s="325"/>
      <c r="E1264" s="172"/>
      <c r="F1264" s="172"/>
      <c r="G1264" s="324"/>
      <c r="H1264" s="324"/>
      <c r="J1264" s="168"/>
      <c r="R1264" s="326"/>
      <c r="S1264" s="168"/>
      <c r="T1264" s="168"/>
    </row>
    <row r="1265" spans="1:20" s="169" customFormat="1" ht="15" customHeight="1">
      <c r="A1265" s="158"/>
      <c r="B1265" s="158"/>
      <c r="C1265" s="325"/>
      <c r="D1265" s="325"/>
      <c r="E1265" s="172"/>
      <c r="F1265" s="172"/>
      <c r="G1265" s="324"/>
      <c r="H1265" s="324"/>
      <c r="J1265" s="168"/>
      <c r="R1265" s="326"/>
      <c r="S1265" s="168"/>
      <c r="T1265" s="168"/>
    </row>
    <row r="1266" spans="1:20" s="169" customFormat="1" ht="15" customHeight="1">
      <c r="A1266" s="158"/>
      <c r="B1266" s="158"/>
      <c r="C1266" s="325"/>
      <c r="D1266" s="325"/>
      <c r="E1266" s="172"/>
      <c r="F1266" s="172"/>
      <c r="G1266" s="324"/>
      <c r="H1266" s="324"/>
      <c r="J1266" s="168"/>
      <c r="R1266" s="326"/>
      <c r="S1266" s="168"/>
      <c r="T1266" s="168"/>
    </row>
    <row r="1267" spans="1:20" s="169" customFormat="1" ht="15" customHeight="1">
      <c r="A1267" s="158"/>
      <c r="B1267" s="158"/>
      <c r="C1267" s="325"/>
      <c r="D1267" s="325"/>
      <c r="E1267" s="172"/>
      <c r="F1267" s="172"/>
      <c r="G1267" s="324"/>
      <c r="H1267" s="324"/>
      <c r="J1267" s="168"/>
      <c r="R1267" s="326"/>
      <c r="S1267" s="168"/>
      <c r="T1267" s="168"/>
    </row>
    <row r="1268" spans="1:20" s="169" customFormat="1" ht="15" customHeight="1">
      <c r="A1268" s="158"/>
      <c r="B1268" s="158"/>
      <c r="C1268" s="325"/>
      <c r="D1268" s="325"/>
      <c r="E1268" s="172"/>
      <c r="F1268" s="172"/>
      <c r="G1268" s="324"/>
      <c r="H1268" s="324"/>
      <c r="J1268" s="168"/>
      <c r="R1268" s="326"/>
      <c r="S1268" s="168"/>
      <c r="T1268" s="168"/>
    </row>
    <row r="1269" spans="1:20" s="169" customFormat="1" ht="15" customHeight="1">
      <c r="A1269" s="158"/>
      <c r="B1269" s="158"/>
      <c r="C1269" s="325"/>
      <c r="D1269" s="325"/>
      <c r="E1269" s="172"/>
      <c r="F1269" s="172"/>
      <c r="G1269" s="324"/>
      <c r="H1269" s="324"/>
      <c r="J1269" s="168"/>
      <c r="R1269" s="326"/>
      <c r="S1269" s="168"/>
      <c r="T1269" s="168"/>
    </row>
    <row r="1270" spans="1:20" s="169" customFormat="1" ht="15" customHeight="1">
      <c r="A1270" s="158"/>
      <c r="B1270" s="158"/>
      <c r="C1270" s="325"/>
      <c r="D1270" s="325"/>
      <c r="E1270" s="172"/>
      <c r="F1270" s="172"/>
      <c r="G1270" s="324"/>
      <c r="H1270" s="324"/>
      <c r="J1270" s="168"/>
      <c r="R1270" s="326"/>
      <c r="S1270" s="168"/>
      <c r="T1270" s="168"/>
    </row>
    <row r="1271" spans="1:20" s="169" customFormat="1" ht="15" customHeight="1">
      <c r="A1271" s="158"/>
      <c r="B1271" s="158"/>
      <c r="C1271" s="325"/>
      <c r="D1271" s="325"/>
      <c r="E1271" s="172"/>
      <c r="F1271" s="172"/>
      <c r="G1271" s="324"/>
      <c r="H1271" s="324"/>
      <c r="J1271" s="168"/>
      <c r="R1271" s="326"/>
      <c r="S1271" s="168"/>
      <c r="T1271" s="168"/>
    </row>
    <row r="1272" spans="1:20" s="169" customFormat="1" ht="15" customHeight="1">
      <c r="A1272" s="158"/>
      <c r="B1272" s="158"/>
      <c r="C1272" s="325"/>
      <c r="D1272" s="325"/>
      <c r="E1272" s="172"/>
      <c r="F1272" s="172"/>
      <c r="G1272" s="324"/>
      <c r="H1272" s="324"/>
      <c r="J1272" s="168"/>
      <c r="R1272" s="326"/>
      <c r="S1272" s="168"/>
      <c r="T1272" s="168"/>
    </row>
    <row r="1273" spans="1:20" s="169" customFormat="1" ht="15" customHeight="1">
      <c r="A1273" s="158"/>
      <c r="B1273" s="158"/>
      <c r="C1273" s="325"/>
      <c r="D1273" s="325"/>
      <c r="E1273" s="172"/>
      <c r="F1273" s="172"/>
      <c r="G1273" s="324"/>
      <c r="H1273" s="324"/>
      <c r="J1273" s="168"/>
      <c r="R1273" s="326"/>
      <c r="S1273" s="168"/>
      <c r="T1273" s="168"/>
    </row>
    <row r="1274" spans="1:20" s="169" customFormat="1" ht="15" customHeight="1">
      <c r="A1274" s="158"/>
      <c r="B1274" s="158"/>
      <c r="C1274" s="325"/>
      <c r="D1274" s="325"/>
      <c r="E1274" s="172"/>
      <c r="F1274" s="172"/>
      <c r="G1274" s="324"/>
      <c r="H1274" s="324"/>
      <c r="J1274" s="168"/>
      <c r="R1274" s="326"/>
      <c r="S1274" s="168"/>
      <c r="T1274" s="168"/>
    </row>
    <row r="1275" spans="1:20" s="169" customFormat="1" ht="15" customHeight="1">
      <c r="A1275" s="158"/>
      <c r="B1275" s="158"/>
      <c r="C1275" s="325"/>
      <c r="D1275" s="325"/>
      <c r="E1275" s="172"/>
      <c r="F1275" s="172"/>
      <c r="G1275" s="324"/>
      <c r="H1275" s="324"/>
      <c r="J1275" s="168"/>
      <c r="R1275" s="326"/>
      <c r="S1275" s="168"/>
      <c r="T1275" s="168"/>
    </row>
    <row r="1276" spans="1:20" s="169" customFormat="1" ht="15" customHeight="1">
      <c r="A1276" s="158"/>
      <c r="B1276" s="158"/>
      <c r="C1276" s="325"/>
      <c r="D1276" s="325"/>
      <c r="E1276" s="172"/>
      <c r="F1276" s="172"/>
      <c r="G1276" s="324"/>
      <c r="H1276" s="324"/>
      <c r="J1276" s="168"/>
      <c r="R1276" s="326"/>
      <c r="S1276" s="168"/>
      <c r="T1276" s="168"/>
    </row>
    <row r="1277" spans="1:20" s="169" customFormat="1" ht="15" customHeight="1">
      <c r="A1277" s="158"/>
      <c r="B1277" s="158"/>
      <c r="C1277" s="325"/>
      <c r="D1277" s="325"/>
      <c r="E1277" s="172"/>
      <c r="F1277" s="172"/>
      <c r="G1277" s="324"/>
      <c r="H1277" s="324"/>
      <c r="J1277" s="168"/>
      <c r="R1277" s="326"/>
      <c r="S1277" s="168"/>
      <c r="T1277" s="168"/>
    </row>
    <row r="1278" spans="1:20" s="169" customFormat="1" ht="15" customHeight="1">
      <c r="A1278" s="158"/>
      <c r="B1278" s="158"/>
      <c r="C1278" s="325"/>
      <c r="D1278" s="325"/>
      <c r="E1278" s="172"/>
      <c r="F1278" s="172"/>
      <c r="G1278" s="324"/>
      <c r="H1278" s="324"/>
      <c r="J1278" s="168"/>
      <c r="R1278" s="326"/>
      <c r="S1278" s="168"/>
      <c r="T1278" s="168"/>
    </row>
    <row r="1279" spans="1:20" s="169" customFormat="1" ht="15" customHeight="1">
      <c r="A1279" s="158"/>
      <c r="B1279" s="158"/>
      <c r="C1279" s="325"/>
      <c r="D1279" s="325"/>
      <c r="E1279" s="172"/>
      <c r="F1279" s="172"/>
      <c r="G1279" s="324"/>
      <c r="H1279" s="324"/>
      <c r="J1279" s="168"/>
      <c r="R1279" s="326"/>
      <c r="S1279" s="168"/>
      <c r="T1279" s="168"/>
    </row>
    <row r="1280" spans="1:20" s="169" customFormat="1" ht="15" customHeight="1">
      <c r="A1280" s="158"/>
      <c r="B1280" s="158"/>
      <c r="C1280" s="325"/>
      <c r="D1280" s="325"/>
      <c r="E1280" s="172"/>
      <c r="F1280" s="172"/>
      <c r="G1280" s="324"/>
      <c r="H1280" s="324"/>
      <c r="J1280" s="168"/>
      <c r="R1280" s="326"/>
      <c r="S1280" s="168"/>
      <c r="T1280" s="168"/>
    </row>
    <row r="1281" spans="1:20" s="169" customFormat="1" ht="15" customHeight="1">
      <c r="A1281" s="158"/>
      <c r="B1281" s="158"/>
      <c r="C1281" s="325"/>
      <c r="D1281" s="325"/>
      <c r="E1281" s="172"/>
      <c r="F1281" s="172"/>
      <c r="G1281" s="324"/>
      <c r="H1281" s="324"/>
      <c r="J1281" s="168"/>
      <c r="R1281" s="326"/>
      <c r="S1281" s="168"/>
      <c r="T1281" s="168"/>
    </row>
    <row r="1282" spans="1:20" s="169" customFormat="1" ht="15" customHeight="1">
      <c r="A1282" s="158"/>
      <c r="B1282" s="158"/>
      <c r="C1282" s="325"/>
      <c r="D1282" s="325"/>
      <c r="E1282" s="172"/>
      <c r="F1282" s="172"/>
      <c r="G1282" s="324"/>
      <c r="H1282" s="324"/>
      <c r="J1282" s="168"/>
      <c r="R1282" s="326"/>
      <c r="S1282" s="168"/>
      <c r="T1282" s="168"/>
    </row>
    <row r="1283" spans="1:20" s="169" customFormat="1" ht="15" customHeight="1">
      <c r="A1283" s="158"/>
      <c r="B1283" s="158"/>
      <c r="C1283" s="325"/>
      <c r="D1283" s="325"/>
      <c r="E1283" s="172"/>
      <c r="F1283" s="172"/>
      <c r="G1283" s="324"/>
      <c r="H1283" s="324"/>
      <c r="J1283" s="168"/>
      <c r="R1283" s="326"/>
      <c r="S1283" s="168"/>
      <c r="T1283" s="168"/>
    </row>
    <row r="1284" spans="1:20" s="169" customFormat="1" ht="15" customHeight="1">
      <c r="A1284" s="158"/>
      <c r="B1284" s="158"/>
      <c r="C1284" s="325"/>
      <c r="D1284" s="325"/>
      <c r="E1284" s="172"/>
      <c r="F1284" s="172"/>
      <c r="G1284" s="324"/>
      <c r="H1284" s="324"/>
      <c r="J1284" s="168"/>
      <c r="R1284" s="326"/>
      <c r="S1284" s="168"/>
      <c r="T1284" s="168"/>
    </row>
    <row r="1285" spans="1:20" s="169" customFormat="1" ht="15" customHeight="1">
      <c r="A1285" s="158"/>
      <c r="B1285" s="158"/>
      <c r="C1285" s="325"/>
      <c r="D1285" s="325"/>
      <c r="E1285" s="172"/>
      <c r="F1285" s="172"/>
      <c r="G1285" s="324"/>
      <c r="H1285" s="324"/>
      <c r="J1285" s="168"/>
      <c r="R1285" s="326"/>
      <c r="S1285" s="168"/>
      <c r="T1285" s="168"/>
    </row>
    <row r="1286" spans="1:20" s="169" customFormat="1" ht="15" customHeight="1">
      <c r="A1286" s="158"/>
      <c r="B1286" s="158"/>
      <c r="C1286" s="325"/>
      <c r="D1286" s="325"/>
      <c r="E1286" s="172"/>
      <c r="F1286" s="172"/>
      <c r="G1286" s="324"/>
      <c r="H1286" s="324"/>
      <c r="J1286" s="168"/>
      <c r="R1286" s="326"/>
      <c r="S1286" s="168"/>
      <c r="T1286" s="168"/>
    </row>
    <row r="1287" spans="1:20" s="169" customFormat="1" ht="15" customHeight="1">
      <c r="A1287" s="158"/>
      <c r="B1287" s="158"/>
      <c r="C1287" s="325"/>
      <c r="D1287" s="325"/>
      <c r="E1287" s="172"/>
      <c r="F1287" s="172"/>
      <c r="G1287" s="324"/>
      <c r="H1287" s="324"/>
      <c r="J1287" s="168"/>
      <c r="R1287" s="326"/>
      <c r="S1287" s="168"/>
      <c r="T1287" s="168"/>
    </row>
    <row r="1288" spans="1:20" s="169" customFormat="1" ht="15" customHeight="1">
      <c r="A1288" s="158"/>
      <c r="B1288" s="158"/>
      <c r="C1288" s="325"/>
      <c r="D1288" s="325"/>
      <c r="E1288" s="172"/>
      <c r="F1288" s="172"/>
      <c r="G1288" s="324"/>
      <c r="H1288" s="324"/>
      <c r="J1288" s="168"/>
      <c r="R1288" s="326"/>
      <c r="S1288" s="168"/>
      <c r="T1288" s="168"/>
    </row>
    <row r="1289" spans="1:20" s="169" customFormat="1" ht="15" customHeight="1">
      <c r="A1289" s="158"/>
      <c r="B1289" s="158"/>
      <c r="C1289" s="325"/>
      <c r="D1289" s="325"/>
      <c r="E1289" s="172"/>
      <c r="F1289" s="172"/>
      <c r="G1289" s="324"/>
      <c r="H1289" s="324"/>
      <c r="J1289" s="168"/>
      <c r="R1289" s="326"/>
      <c r="S1289" s="168"/>
      <c r="T1289" s="168"/>
    </row>
    <row r="1290" spans="1:20" s="169" customFormat="1" ht="15" customHeight="1">
      <c r="A1290" s="158"/>
      <c r="B1290" s="158"/>
      <c r="C1290" s="325"/>
      <c r="D1290" s="325"/>
      <c r="E1290" s="172"/>
      <c r="F1290" s="172"/>
      <c r="G1290" s="324"/>
      <c r="H1290" s="324"/>
      <c r="J1290" s="168"/>
      <c r="R1290" s="326"/>
      <c r="S1290" s="168"/>
      <c r="T1290" s="168"/>
    </row>
    <row r="1291" spans="1:20" s="169" customFormat="1" ht="15" customHeight="1">
      <c r="A1291" s="158"/>
      <c r="B1291" s="158"/>
      <c r="C1291" s="325"/>
      <c r="D1291" s="325"/>
      <c r="E1291" s="172"/>
      <c r="F1291" s="172"/>
      <c r="G1291" s="324"/>
      <c r="H1291" s="324"/>
      <c r="J1291" s="168"/>
      <c r="R1291" s="326"/>
      <c r="S1291" s="168"/>
      <c r="T1291" s="168"/>
    </row>
    <row r="1292" spans="1:20" s="169" customFormat="1" ht="15" customHeight="1">
      <c r="A1292" s="158"/>
      <c r="B1292" s="158"/>
      <c r="C1292" s="325"/>
      <c r="D1292" s="325"/>
      <c r="E1292" s="172"/>
      <c r="F1292" s="172"/>
      <c r="G1292" s="324"/>
      <c r="H1292" s="324"/>
      <c r="J1292" s="168"/>
      <c r="R1292" s="326"/>
      <c r="S1292" s="168"/>
      <c r="T1292" s="168"/>
    </row>
    <row r="1293" spans="1:20" s="169" customFormat="1" ht="15" customHeight="1">
      <c r="A1293" s="158"/>
      <c r="B1293" s="158"/>
      <c r="C1293" s="325"/>
      <c r="D1293" s="325"/>
      <c r="E1293" s="172"/>
      <c r="F1293" s="172"/>
      <c r="G1293" s="324"/>
      <c r="H1293" s="324"/>
      <c r="J1293" s="168"/>
      <c r="R1293" s="326"/>
      <c r="S1293" s="168"/>
      <c r="T1293" s="168"/>
    </row>
    <row r="1294" spans="1:20" s="169" customFormat="1" ht="15" customHeight="1">
      <c r="A1294" s="158"/>
      <c r="B1294" s="158"/>
      <c r="C1294" s="325"/>
      <c r="D1294" s="325"/>
      <c r="E1294" s="172"/>
      <c r="F1294" s="172"/>
      <c r="G1294" s="324"/>
      <c r="H1294" s="324"/>
      <c r="J1294" s="168"/>
      <c r="R1294" s="326"/>
      <c r="S1294" s="168"/>
      <c r="T1294" s="168"/>
    </row>
    <row r="1295" spans="1:20" s="169" customFormat="1" ht="15" customHeight="1">
      <c r="A1295" s="158"/>
      <c r="B1295" s="158"/>
      <c r="C1295" s="325"/>
      <c r="D1295" s="325"/>
      <c r="E1295" s="172"/>
      <c r="F1295" s="172"/>
      <c r="G1295" s="324"/>
      <c r="H1295" s="324"/>
      <c r="J1295" s="168"/>
      <c r="R1295" s="326"/>
      <c r="S1295" s="168"/>
      <c r="T1295" s="168"/>
    </row>
    <row r="1296" spans="1:20" s="169" customFormat="1" ht="15" customHeight="1">
      <c r="A1296" s="158"/>
      <c r="B1296" s="158"/>
      <c r="C1296" s="325"/>
      <c r="D1296" s="325"/>
      <c r="E1296" s="172"/>
      <c r="F1296" s="172"/>
      <c r="G1296" s="324"/>
      <c r="H1296" s="324"/>
      <c r="J1296" s="168"/>
      <c r="R1296" s="326"/>
      <c r="S1296" s="168"/>
      <c r="T1296" s="168"/>
    </row>
    <row r="1297" spans="1:20" s="169" customFormat="1" ht="15" customHeight="1">
      <c r="A1297" s="158"/>
      <c r="B1297" s="158"/>
      <c r="C1297" s="325"/>
      <c r="D1297" s="325"/>
      <c r="E1297" s="172"/>
      <c r="F1297" s="172"/>
      <c r="G1297" s="324"/>
      <c r="H1297" s="324"/>
      <c r="J1297" s="168"/>
      <c r="R1297" s="326"/>
      <c r="S1297" s="168"/>
      <c r="T1297" s="168"/>
    </row>
    <row r="1298" spans="1:20" s="169" customFormat="1" ht="15" customHeight="1">
      <c r="A1298" s="158"/>
      <c r="B1298" s="158"/>
      <c r="C1298" s="325"/>
      <c r="D1298" s="325"/>
      <c r="E1298" s="172"/>
      <c r="F1298" s="172"/>
      <c r="G1298" s="324"/>
      <c r="H1298" s="324"/>
      <c r="J1298" s="168"/>
      <c r="R1298" s="326"/>
      <c r="S1298" s="168"/>
      <c r="T1298" s="168"/>
    </row>
    <row r="1299" spans="1:20" s="169" customFormat="1" ht="15" customHeight="1">
      <c r="A1299" s="158"/>
      <c r="B1299" s="158"/>
      <c r="C1299" s="325"/>
      <c r="D1299" s="325"/>
      <c r="E1299" s="172"/>
      <c r="F1299" s="172"/>
      <c r="G1299" s="324"/>
      <c r="H1299" s="324"/>
      <c r="J1299" s="168"/>
      <c r="R1299" s="326"/>
      <c r="S1299" s="168"/>
      <c r="T1299" s="168"/>
    </row>
    <row r="1300" spans="1:20" s="169" customFormat="1" ht="15" customHeight="1">
      <c r="A1300" s="158"/>
      <c r="B1300" s="158"/>
      <c r="C1300" s="325"/>
      <c r="D1300" s="325"/>
      <c r="E1300" s="172"/>
      <c r="F1300" s="172"/>
      <c r="G1300" s="324"/>
      <c r="H1300" s="324"/>
      <c r="J1300" s="168"/>
      <c r="R1300" s="326"/>
      <c r="S1300" s="168"/>
      <c r="T1300" s="168"/>
    </row>
    <row r="1301" spans="1:20" s="169" customFormat="1" ht="15" customHeight="1">
      <c r="A1301" s="158"/>
      <c r="B1301" s="158"/>
      <c r="C1301" s="325"/>
      <c r="D1301" s="325"/>
      <c r="E1301" s="172"/>
      <c r="F1301" s="172"/>
      <c r="G1301" s="324"/>
      <c r="H1301" s="324"/>
      <c r="J1301" s="168"/>
      <c r="R1301" s="326"/>
      <c r="S1301" s="168"/>
      <c r="T1301" s="168"/>
    </row>
    <row r="1302" spans="1:20" s="169" customFormat="1" ht="15" customHeight="1">
      <c r="A1302" s="158"/>
      <c r="B1302" s="158"/>
      <c r="C1302" s="325"/>
      <c r="D1302" s="325"/>
      <c r="E1302" s="172"/>
      <c r="F1302" s="172"/>
      <c r="G1302" s="324"/>
      <c r="H1302" s="324"/>
      <c r="J1302" s="168"/>
      <c r="R1302" s="326"/>
      <c r="S1302" s="168"/>
      <c r="T1302" s="168"/>
    </row>
    <row r="1303" spans="1:20" s="169" customFormat="1" ht="15" customHeight="1">
      <c r="A1303" s="158"/>
      <c r="B1303" s="158"/>
      <c r="C1303" s="325"/>
      <c r="D1303" s="325"/>
      <c r="E1303" s="172"/>
      <c r="F1303" s="172"/>
      <c r="G1303" s="324"/>
      <c r="H1303" s="324"/>
      <c r="J1303" s="168"/>
      <c r="R1303" s="326"/>
      <c r="S1303" s="168"/>
      <c r="T1303" s="168"/>
    </row>
    <row r="1304" spans="1:20" s="169" customFormat="1" ht="15" customHeight="1">
      <c r="A1304" s="158"/>
      <c r="B1304" s="158"/>
      <c r="C1304" s="325"/>
      <c r="D1304" s="325"/>
      <c r="E1304" s="172"/>
      <c r="F1304" s="172"/>
      <c r="G1304" s="324"/>
      <c r="H1304" s="324"/>
      <c r="J1304" s="168"/>
      <c r="R1304" s="326"/>
      <c r="S1304" s="168"/>
      <c r="T1304" s="168"/>
    </row>
    <row r="1305" spans="1:20" s="169" customFormat="1" ht="15" customHeight="1">
      <c r="A1305" s="158"/>
      <c r="B1305" s="158"/>
      <c r="C1305" s="325"/>
      <c r="D1305" s="325"/>
      <c r="E1305" s="172"/>
      <c r="F1305" s="172"/>
      <c r="G1305" s="324"/>
      <c r="H1305" s="324"/>
      <c r="J1305" s="168"/>
      <c r="R1305" s="326"/>
      <c r="S1305" s="168"/>
      <c r="T1305" s="168"/>
    </row>
    <row r="1306" spans="1:20" s="169" customFormat="1" ht="15" customHeight="1">
      <c r="A1306" s="158"/>
      <c r="B1306" s="158"/>
      <c r="C1306" s="325"/>
      <c r="D1306" s="325"/>
      <c r="E1306" s="172"/>
      <c r="F1306" s="172"/>
      <c r="G1306" s="324"/>
      <c r="H1306" s="324"/>
      <c r="J1306" s="168"/>
      <c r="R1306" s="326"/>
      <c r="S1306" s="168"/>
      <c r="T1306" s="168"/>
    </row>
    <row r="1307" spans="1:20" s="169" customFormat="1" ht="15" customHeight="1">
      <c r="A1307" s="158"/>
      <c r="B1307" s="158"/>
      <c r="C1307" s="325"/>
      <c r="D1307" s="325"/>
      <c r="E1307" s="172"/>
      <c r="F1307" s="172"/>
      <c r="G1307" s="324"/>
      <c r="H1307" s="324"/>
      <c r="J1307" s="168"/>
      <c r="R1307" s="326"/>
      <c r="S1307" s="168"/>
      <c r="T1307" s="168"/>
    </row>
    <row r="1308" spans="1:20" s="169" customFormat="1" ht="15" customHeight="1">
      <c r="A1308" s="158"/>
      <c r="B1308" s="158"/>
      <c r="C1308" s="325"/>
      <c r="D1308" s="325"/>
      <c r="E1308" s="172"/>
      <c r="F1308" s="172"/>
      <c r="G1308" s="324"/>
      <c r="H1308" s="324"/>
      <c r="J1308" s="168"/>
      <c r="R1308" s="326"/>
      <c r="S1308" s="168"/>
      <c r="T1308" s="168"/>
    </row>
    <row r="1309" spans="1:20" s="169" customFormat="1" ht="15" customHeight="1">
      <c r="A1309" s="158"/>
      <c r="B1309" s="158"/>
      <c r="C1309" s="325"/>
      <c r="D1309" s="325"/>
      <c r="E1309" s="172"/>
      <c r="F1309" s="172"/>
      <c r="G1309" s="324"/>
      <c r="H1309" s="324"/>
      <c r="J1309" s="168"/>
      <c r="R1309" s="326"/>
      <c r="S1309" s="168"/>
      <c r="T1309" s="168"/>
    </row>
    <row r="1310" spans="1:20" s="169" customFormat="1" ht="15" customHeight="1">
      <c r="A1310" s="158"/>
      <c r="B1310" s="158"/>
      <c r="C1310" s="325"/>
      <c r="D1310" s="325"/>
      <c r="E1310" s="172"/>
      <c r="F1310" s="172"/>
      <c r="G1310" s="324"/>
      <c r="H1310" s="324"/>
      <c r="J1310" s="168"/>
      <c r="R1310" s="326"/>
      <c r="S1310" s="168"/>
      <c r="T1310" s="168"/>
    </row>
    <row r="1311" spans="1:20" s="169" customFormat="1" ht="15" customHeight="1">
      <c r="A1311" s="158"/>
      <c r="B1311" s="158"/>
      <c r="C1311" s="325"/>
      <c r="D1311" s="325"/>
      <c r="E1311" s="172"/>
      <c r="F1311" s="172"/>
      <c r="G1311" s="324"/>
      <c r="H1311" s="324"/>
      <c r="J1311" s="168"/>
      <c r="R1311" s="326"/>
      <c r="S1311" s="168"/>
      <c r="T1311" s="168"/>
    </row>
    <row r="1312" spans="1:20" s="169" customFormat="1" ht="15" customHeight="1">
      <c r="A1312" s="158"/>
      <c r="B1312" s="158"/>
      <c r="C1312" s="325"/>
      <c r="D1312" s="325"/>
      <c r="E1312" s="172"/>
      <c r="F1312" s="172"/>
      <c r="G1312" s="324"/>
      <c r="H1312" s="324"/>
      <c r="J1312" s="168"/>
      <c r="R1312" s="326"/>
      <c r="S1312" s="168"/>
      <c r="T1312" s="168"/>
    </row>
    <row r="1313" spans="1:20" s="169" customFormat="1" ht="15" customHeight="1">
      <c r="A1313" s="158"/>
      <c r="B1313" s="158"/>
      <c r="C1313" s="325"/>
      <c r="D1313" s="325"/>
      <c r="E1313" s="172"/>
      <c r="F1313" s="172"/>
      <c r="G1313" s="324"/>
      <c r="H1313" s="324"/>
      <c r="J1313" s="168"/>
      <c r="R1313" s="326"/>
      <c r="S1313" s="168"/>
      <c r="T1313" s="168"/>
    </row>
    <row r="1314" spans="1:20" s="169" customFormat="1" ht="15" customHeight="1">
      <c r="A1314" s="158"/>
      <c r="B1314" s="158"/>
      <c r="C1314" s="325"/>
      <c r="D1314" s="325"/>
      <c r="E1314" s="172"/>
      <c r="F1314" s="172"/>
      <c r="G1314" s="324"/>
      <c r="H1314" s="324"/>
      <c r="J1314" s="168"/>
      <c r="R1314" s="326"/>
      <c r="S1314" s="168"/>
      <c r="T1314" s="168"/>
    </row>
    <row r="1315" spans="1:20" s="169" customFormat="1" ht="15" customHeight="1">
      <c r="A1315" s="158"/>
      <c r="B1315" s="158"/>
      <c r="C1315" s="325"/>
      <c r="D1315" s="325"/>
      <c r="E1315" s="172"/>
      <c r="F1315" s="172"/>
      <c r="G1315" s="324"/>
      <c r="H1315" s="324"/>
      <c r="J1315" s="168"/>
      <c r="R1315" s="326"/>
      <c r="S1315" s="168"/>
      <c r="T1315" s="168"/>
    </row>
    <row r="1316" spans="1:20" s="169" customFormat="1" ht="15" customHeight="1">
      <c r="A1316" s="158"/>
      <c r="B1316" s="158"/>
      <c r="C1316" s="325"/>
      <c r="D1316" s="325"/>
      <c r="E1316" s="172"/>
      <c r="F1316" s="172"/>
      <c r="G1316" s="324"/>
      <c r="H1316" s="324"/>
      <c r="J1316" s="168"/>
      <c r="R1316" s="326"/>
      <c r="S1316" s="168"/>
      <c r="T1316" s="168"/>
    </row>
    <row r="1317" spans="1:20" s="169" customFormat="1" ht="15" customHeight="1">
      <c r="A1317" s="158"/>
      <c r="B1317" s="158"/>
      <c r="C1317" s="325"/>
      <c r="D1317" s="325"/>
      <c r="E1317" s="172"/>
      <c r="F1317" s="172"/>
      <c r="G1317" s="324"/>
      <c r="H1317" s="324"/>
      <c r="J1317" s="168"/>
      <c r="R1317" s="326"/>
      <c r="S1317" s="168"/>
      <c r="T1317" s="168"/>
    </row>
    <row r="1318" spans="1:20" s="169" customFormat="1" ht="15" customHeight="1">
      <c r="A1318" s="158"/>
      <c r="B1318" s="158"/>
      <c r="C1318" s="325"/>
      <c r="D1318" s="325"/>
      <c r="E1318" s="172"/>
      <c r="F1318" s="172"/>
      <c r="G1318" s="324"/>
      <c r="H1318" s="324"/>
      <c r="J1318" s="168"/>
      <c r="R1318" s="326"/>
      <c r="S1318" s="168"/>
      <c r="T1318" s="168"/>
    </row>
    <row r="1319" spans="1:20" s="169" customFormat="1" ht="15" customHeight="1">
      <c r="A1319" s="158"/>
      <c r="B1319" s="158"/>
      <c r="C1319" s="325"/>
      <c r="D1319" s="325"/>
      <c r="E1319" s="172"/>
      <c r="F1319" s="172"/>
      <c r="G1319" s="324"/>
      <c r="H1319" s="324"/>
      <c r="J1319" s="168"/>
      <c r="R1319" s="326"/>
      <c r="S1319" s="168"/>
      <c r="T1319" s="168"/>
    </row>
    <row r="1320" spans="1:20" s="169" customFormat="1" ht="15" customHeight="1">
      <c r="A1320" s="158"/>
      <c r="B1320" s="158"/>
      <c r="C1320" s="325"/>
      <c r="D1320" s="325"/>
      <c r="E1320" s="172"/>
      <c r="F1320" s="172"/>
      <c r="G1320" s="324"/>
      <c r="H1320" s="324"/>
      <c r="J1320" s="168"/>
      <c r="R1320" s="326"/>
      <c r="S1320" s="168"/>
      <c r="T1320" s="168"/>
    </row>
    <row r="1321" spans="1:20" s="169" customFormat="1" ht="15" customHeight="1">
      <c r="A1321" s="158"/>
      <c r="B1321" s="158"/>
      <c r="C1321" s="325"/>
      <c r="D1321" s="325"/>
      <c r="E1321" s="172"/>
      <c r="F1321" s="172"/>
      <c r="G1321" s="324"/>
      <c r="H1321" s="324"/>
      <c r="J1321" s="168"/>
      <c r="R1321" s="326"/>
      <c r="S1321" s="168"/>
      <c r="T1321" s="168"/>
    </row>
    <row r="1322" spans="1:20" s="169" customFormat="1" ht="15" customHeight="1">
      <c r="A1322" s="158"/>
      <c r="B1322" s="158"/>
      <c r="C1322" s="325"/>
      <c r="D1322" s="325"/>
      <c r="E1322" s="172"/>
      <c r="F1322" s="172"/>
      <c r="G1322" s="324"/>
      <c r="H1322" s="324"/>
      <c r="J1322" s="168"/>
      <c r="R1322" s="326"/>
      <c r="S1322" s="168"/>
      <c r="T1322" s="168"/>
    </row>
    <row r="1323" spans="1:20" s="169" customFormat="1" ht="15" customHeight="1">
      <c r="A1323" s="158"/>
      <c r="B1323" s="158"/>
      <c r="C1323" s="325"/>
      <c r="D1323" s="325"/>
      <c r="E1323" s="172"/>
      <c r="F1323" s="172"/>
      <c r="G1323" s="324"/>
      <c r="H1323" s="324"/>
      <c r="J1323" s="168"/>
      <c r="R1323" s="326"/>
      <c r="S1323" s="168"/>
      <c r="T1323" s="168"/>
    </row>
    <row r="1324" spans="1:20" s="169" customFormat="1" ht="15" customHeight="1">
      <c r="A1324" s="158"/>
      <c r="B1324" s="158"/>
      <c r="C1324" s="325"/>
      <c r="D1324" s="325"/>
      <c r="E1324" s="172"/>
      <c r="F1324" s="172"/>
      <c r="G1324" s="324"/>
      <c r="H1324" s="324"/>
      <c r="J1324" s="168"/>
      <c r="R1324" s="326"/>
      <c r="S1324" s="168"/>
      <c r="T1324" s="168"/>
    </row>
    <row r="1325" spans="1:20" s="169" customFormat="1" ht="15" customHeight="1">
      <c r="A1325" s="158"/>
      <c r="B1325" s="158"/>
      <c r="C1325" s="325"/>
      <c r="D1325" s="325"/>
      <c r="E1325" s="172"/>
      <c r="F1325" s="172"/>
      <c r="G1325" s="324"/>
      <c r="H1325" s="324"/>
      <c r="J1325" s="168"/>
      <c r="R1325" s="326"/>
      <c r="S1325" s="168"/>
      <c r="T1325" s="168"/>
    </row>
    <row r="1326" spans="1:20" s="169" customFormat="1" ht="15" customHeight="1">
      <c r="A1326" s="158"/>
      <c r="B1326" s="158"/>
      <c r="C1326" s="325"/>
      <c r="D1326" s="325"/>
      <c r="E1326" s="172"/>
      <c r="F1326" s="172"/>
      <c r="G1326" s="324"/>
      <c r="H1326" s="324"/>
      <c r="J1326" s="168"/>
      <c r="R1326" s="326"/>
      <c r="S1326" s="168"/>
      <c r="T1326" s="168"/>
    </row>
    <row r="1327" spans="1:20" s="169" customFormat="1" ht="15" customHeight="1">
      <c r="A1327" s="158"/>
      <c r="B1327" s="158"/>
      <c r="C1327" s="325"/>
      <c r="D1327" s="325"/>
      <c r="E1327" s="172"/>
      <c r="F1327" s="172"/>
      <c r="G1327" s="324"/>
      <c r="H1327" s="324"/>
      <c r="J1327" s="168"/>
      <c r="R1327" s="326"/>
      <c r="S1327" s="168"/>
      <c r="T1327" s="168"/>
    </row>
    <row r="1328" spans="1:20" s="169" customFormat="1" ht="15" customHeight="1">
      <c r="A1328" s="158"/>
      <c r="B1328" s="158"/>
      <c r="C1328" s="325"/>
      <c r="D1328" s="325"/>
      <c r="E1328" s="172"/>
      <c r="F1328" s="172"/>
      <c r="G1328" s="324"/>
      <c r="H1328" s="324"/>
      <c r="J1328" s="168"/>
      <c r="R1328" s="326"/>
      <c r="S1328" s="168"/>
      <c r="T1328" s="168"/>
    </row>
    <row r="1329" spans="1:20" s="169" customFormat="1" ht="15" customHeight="1">
      <c r="A1329" s="158"/>
      <c r="B1329" s="158"/>
      <c r="C1329" s="325"/>
      <c r="D1329" s="325"/>
      <c r="E1329" s="172"/>
      <c r="F1329" s="172"/>
      <c r="G1329" s="324"/>
      <c r="H1329" s="324"/>
      <c r="J1329" s="168"/>
      <c r="R1329" s="326"/>
      <c r="S1329" s="168"/>
      <c r="T1329" s="168"/>
    </row>
    <row r="1330" spans="1:20" s="169" customFormat="1" ht="15" customHeight="1">
      <c r="A1330" s="158"/>
      <c r="B1330" s="158"/>
      <c r="C1330" s="325"/>
      <c r="D1330" s="325"/>
      <c r="E1330" s="172"/>
      <c r="F1330" s="172"/>
      <c r="G1330" s="324"/>
      <c r="H1330" s="324"/>
      <c r="J1330" s="168"/>
      <c r="R1330" s="326"/>
      <c r="S1330" s="168"/>
      <c r="T1330" s="168"/>
    </row>
    <row r="1331" spans="1:20" s="169" customFormat="1" ht="15" customHeight="1">
      <c r="A1331" s="158"/>
      <c r="B1331" s="158"/>
      <c r="C1331" s="325"/>
      <c r="D1331" s="325"/>
      <c r="E1331" s="172"/>
      <c r="F1331" s="172"/>
      <c r="G1331" s="324"/>
      <c r="H1331" s="324"/>
      <c r="J1331" s="168"/>
      <c r="R1331" s="326"/>
      <c r="S1331" s="168"/>
      <c r="T1331" s="168"/>
    </row>
    <row r="1332" spans="1:20" s="169" customFormat="1" ht="15" customHeight="1">
      <c r="A1332" s="158"/>
      <c r="B1332" s="158"/>
      <c r="C1332" s="325"/>
      <c r="D1332" s="325"/>
      <c r="E1332" s="172"/>
      <c r="F1332" s="172"/>
      <c r="G1332" s="324"/>
      <c r="H1332" s="324"/>
      <c r="J1332" s="168"/>
      <c r="R1332" s="326"/>
      <c r="S1332" s="168"/>
      <c r="T1332" s="168"/>
    </row>
    <row r="1333" spans="1:20" s="169" customFormat="1" ht="15" customHeight="1">
      <c r="A1333" s="158"/>
      <c r="B1333" s="158"/>
      <c r="C1333" s="325"/>
      <c r="D1333" s="325"/>
      <c r="E1333" s="172"/>
      <c r="F1333" s="172"/>
      <c r="G1333" s="324"/>
      <c r="H1333" s="324"/>
      <c r="J1333" s="168"/>
      <c r="R1333" s="326"/>
      <c r="S1333" s="168"/>
      <c r="T1333" s="168"/>
    </row>
    <row r="1334" spans="1:20" s="169" customFormat="1" ht="15" customHeight="1">
      <c r="A1334" s="158"/>
      <c r="B1334" s="158"/>
      <c r="C1334" s="325"/>
      <c r="D1334" s="325"/>
      <c r="E1334" s="172"/>
      <c r="F1334" s="172"/>
      <c r="G1334" s="324"/>
      <c r="H1334" s="324"/>
      <c r="J1334" s="168"/>
      <c r="R1334" s="326"/>
      <c r="S1334" s="168"/>
      <c r="T1334" s="168"/>
    </row>
    <row r="1335" spans="1:20" s="169" customFormat="1" ht="15" customHeight="1">
      <c r="A1335" s="158"/>
      <c r="B1335" s="158"/>
      <c r="C1335" s="325"/>
      <c r="D1335" s="325"/>
      <c r="E1335" s="172"/>
      <c r="F1335" s="172"/>
      <c r="G1335" s="324"/>
      <c r="H1335" s="324"/>
      <c r="J1335" s="168"/>
      <c r="R1335" s="326"/>
      <c r="S1335" s="168"/>
      <c r="T1335" s="168"/>
    </row>
    <row r="1336" spans="1:20" s="169" customFormat="1" ht="15" customHeight="1">
      <c r="A1336" s="158"/>
      <c r="B1336" s="158"/>
      <c r="C1336" s="325"/>
      <c r="D1336" s="325"/>
      <c r="E1336" s="172"/>
      <c r="F1336" s="172"/>
      <c r="G1336" s="324"/>
      <c r="H1336" s="324"/>
      <c r="J1336" s="168"/>
      <c r="R1336" s="326"/>
      <c r="S1336" s="168"/>
      <c r="T1336" s="168"/>
    </row>
    <row r="1337" spans="1:20" s="169" customFormat="1" ht="15" customHeight="1">
      <c r="A1337" s="158"/>
      <c r="B1337" s="158"/>
      <c r="C1337" s="325"/>
      <c r="D1337" s="325"/>
      <c r="E1337" s="172"/>
      <c r="F1337" s="172"/>
      <c r="G1337" s="324"/>
      <c r="H1337" s="324"/>
      <c r="J1337" s="168"/>
      <c r="R1337" s="326"/>
      <c r="S1337" s="168"/>
      <c r="T1337" s="168"/>
    </row>
    <row r="1338" spans="1:20" s="169" customFormat="1" ht="15" customHeight="1">
      <c r="A1338" s="158"/>
      <c r="B1338" s="158"/>
      <c r="C1338" s="325"/>
      <c r="D1338" s="325"/>
      <c r="E1338" s="172"/>
      <c r="F1338" s="172"/>
      <c r="G1338" s="324"/>
      <c r="H1338" s="324"/>
      <c r="J1338" s="168"/>
      <c r="R1338" s="326"/>
      <c r="S1338" s="168"/>
      <c r="T1338" s="168"/>
    </row>
    <row r="1339" spans="1:20" s="169" customFormat="1" ht="15" customHeight="1">
      <c r="A1339" s="158"/>
      <c r="B1339" s="158"/>
      <c r="C1339" s="325"/>
      <c r="D1339" s="325"/>
      <c r="E1339" s="172"/>
      <c r="F1339" s="172"/>
      <c r="G1339" s="324"/>
      <c r="H1339" s="324"/>
      <c r="J1339" s="168"/>
      <c r="R1339" s="326"/>
      <c r="S1339" s="168"/>
      <c r="T1339" s="168"/>
    </row>
    <row r="1340" spans="1:20" s="169" customFormat="1" ht="15" customHeight="1">
      <c r="A1340" s="158"/>
      <c r="B1340" s="158"/>
      <c r="C1340" s="325"/>
      <c r="D1340" s="325"/>
      <c r="E1340" s="172"/>
      <c r="F1340" s="172"/>
      <c r="G1340" s="324"/>
      <c r="H1340" s="324"/>
      <c r="J1340" s="168"/>
      <c r="R1340" s="326"/>
      <c r="S1340" s="168"/>
      <c r="T1340" s="168"/>
    </row>
    <row r="1341" spans="1:20" s="169" customFormat="1" ht="15" customHeight="1">
      <c r="A1341" s="158"/>
      <c r="B1341" s="158"/>
      <c r="C1341" s="325"/>
      <c r="D1341" s="325"/>
      <c r="E1341" s="172"/>
      <c r="F1341" s="172"/>
      <c r="G1341" s="324"/>
      <c r="H1341" s="324"/>
      <c r="J1341" s="168"/>
      <c r="R1341" s="326"/>
      <c r="S1341" s="168"/>
      <c r="T1341" s="168"/>
    </row>
    <row r="1342" spans="1:20" s="169" customFormat="1" ht="15" customHeight="1">
      <c r="A1342" s="158"/>
      <c r="B1342" s="158"/>
      <c r="C1342" s="325"/>
      <c r="D1342" s="325"/>
      <c r="E1342" s="172"/>
      <c r="F1342" s="172"/>
      <c r="G1342" s="324"/>
      <c r="H1342" s="324"/>
      <c r="J1342" s="168"/>
      <c r="R1342" s="326"/>
      <c r="S1342" s="168"/>
      <c r="T1342" s="168"/>
    </row>
    <row r="1343" spans="1:20" s="169" customFormat="1" ht="15" customHeight="1">
      <c r="A1343" s="158"/>
      <c r="B1343" s="158"/>
      <c r="C1343" s="325"/>
      <c r="D1343" s="325"/>
      <c r="E1343" s="172"/>
      <c r="F1343" s="172"/>
      <c r="G1343" s="324"/>
      <c r="H1343" s="324"/>
      <c r="J1343" s="168"/>
      <c r="R1343" s="326"/>
      <c r="S1343" s="168"/>
      <c r="T1343" s="168"/>
    </row>
    <row r="1344" spans="1:20" s="169" customFormat="1" ht="15" customHeight="1">
      <c r="A1344" s="158"/>
      <c r="B1344" s="158"/>
      <c r="C1344" s="325"/>
      <c r="D1344" s="325"/>
      <c r="E1344" s="172"/>
      <c r="F1344" s="172"/>
      <c r="G1344" s="324"/>
      <c r="H1344" s="324"/>
      <c r="J1344" s="168"/>
      <c r="R1344" s="326"/>
      <c r="S1344" s="168"/>
      <c r="T1344" s="168"/>
    </row>
    <row r="1345" spans="1:20" s="169" customFormat="1" ht="15" customHeight="1">
      <c r="A1345" s="158"/>
      <c r="B1345" s="158"/>
      <c r="C1345" s="325"/>
      <c r="D1345" s="325"/>
      <c r="E1345" s="172"/>
      <c r="F1345" s="172"/>
      <c r="G1345" s="324"/>
      <c r="H1345" s="324"/>
      <c r="J1345" s="168"/>
      <c r="R1345" s="326"/>
      <c r="S1345" s="168"/>
      <c r="T1345" s="168"/>
    </row>
    <row r="1346" spans="1:20" s="169" customFormat="1" ht="15" customHeight="1">
      <c r="A1346" s="158"/>
      <c r="B1346" s="158"/>
      <c r="C1346" s="325"/>
      <c r="D1346" s="325"/>
      <c r="E1346" s="172"/>
      <c r="F1346" s="172"/>
      <c r="G1346" s="324"/>
      <c r="H1346" s="324"/>
      <c r="J1346" s="168"/>
      <c r="R1346" s="326"/>
      <c r="S1346" s="168"/>
      <c r="T1346" s="168"/>
    </row>
    <row r="1347" spans="1:20" s="169" customFormat="1" ht="15" customHeight="1">
      <c r="A1347" s="158"/>
      <c r="B1347" s="158"/>
      <c r="C1347" s="325"/>
      <c r="D1347" s="325"/>
      <c r="E1347" s="172"/>
      <c r="F1347" s="172"/>
      <c r="G1347" s="324"/>
      <c r="H1347" s="324"/>
      <c r="J1347" s="168"/>
      <c r="R1347" s="326"/>
      <c r="S1347" s="168"/>
      <c r="T1347" s="168"/>
    </row>
    <row r="1348" spans="1:20" s="169" customFormat="1" ht="15" customHeight="1">
      <c r="A1348" s="158"/>
      <c r="B1348" s="158"/>
      <c r="C1348" s="325"/>
      <c r="D1348" s="325"/>
      <c r="E1348" s="172"/>
      <c r="F1348" s="172"/>
      <c r="G1348" s="324"/>
      <c r="H1348" s="324"/>
      <c r="J1348" s="168"/>
      <c r="R1348" s="326"/>
      <c r="S1348" s="168"/>
      <c r="T1348" s="168"/>
    </row>
    <row r="1349" spans="1:20" s="169" customFormat="1" ht="15" customHeight="1">
      <c r="A1349" s="158"/>
      <c r="B1349" s="158"/>
      <c r="C1349" s="325"/>
      <c r="D1349" s="325"/>
      <c r="E1349" s="172"/>
      <c r="F1349" s="172"/>
      <c r="G1349" s="324"/>
      <c r="H1349" s="324"/>
      <c r="J1349" s="168"/>
      <c r="R1349" s="326"/>
      <c r="S1349" s="168"/>
      <c r="T1349" s="168"/>
    </row>
    <row r="1350" spans="1:20" s="169" customFormat="1" ht="15" customHeight="1">
      <c r="A1350" s="158"/>
      <c r="B1350" s="158"/>
      <c r="C1350" s="325"/>
      <c r="D1350" s="325"/>
      <c r="E1350" s="172"/>
      <c r="F1350" s="172"/>
      <c r="G1350" s="324"/>
      <c r="H1350" s="324"/>
      <c r="J1350" s="168"/>
      <c r="R1350" s="326"/>
      <c r="S1350" s="168"/>
      <c r="T1350" s="168"/>
    </row>
    <row r="1351" spans="1:20" s="169" customFormat="1" ht="15" customHeight="1">
      <c r="A1351" s="158"/>
      <c r="B1351" s="158"/>
      <c r="C1351" s="325"/>
      <c r="D1351" s="325"/>
      <c r="E1351" s="172"/>
      <c r="F1351" s="172"/>
      <c r="G1351" s="324"/>
      <c r="H1351" s="324"/>
      <c r="J1351" s="168"/>
      <c r="R1351" s="326"/>
      <c r="S1351" s="168"/>
      <c r="T1351" s="168"/>
    </row>
    <row r="1352" spans="1:20" s="169" customFormat="1" ht="15" customHeight="1">
      <c r="A1352" s="158"/>
      <c r="B1352" s="158"/>
      <c r="C1352" s="325"/>
      <c r="D1352" s="325"/>
      <c r="E1352" s="172"/>
      <c r="F1352" s="172"/>
      <c r="G1352" s="324"/>
      <c r="H1352" s="324"/>
      <c r="J1352" s="168"/>
      <c r="R1352" s="326"/>
      <c r="S1352" s="168"/>
      <c r="T1352" s="168"/>
    </row>
    <row r="1353" spans="1:20" s="169" customFormat="1" ht="15" customHeight="1">
      <c r="A1353" s="158"/>
      <c r="B1353" s="158"/>
      <c r="C1353" s="325"/>
      <c r="D1353" s="325"/>
      <c r="E1353" s="172"/>
      <c r="F1353" s="172"/>
      <c r="G1353" s="324"/>
      <c r="H1353" s="324"/>
      <c r="J1353" s="168"/>
      <c r="R1353" s="326"/>
      <c r="S1353" s="168"/>
      <c r="T1353" s="168"/>
    </row>
    <row r="1354" spans="1:20" s="169" customFormat="1" ht="15" customHeight="1">
      <c r="A1354" s="158"/>
      <c r="B1354" s="158"/>
      <c r="C1354" s="325"/>
      <c r="D1354" s="325"/>
      <c r="E1354" s="172"/>
      <c r="F1354" s="172"/>
      <c r="G1354" s="324"/>
      <c r="H1354" s="324"/>
      <c r="J1354" s="168"/>
      <c r="R1354" s="326"/>
      <c r="S1354" s="168"/>
      <c r="T1354" s="168"/>
    </row>
    <row r="1355" spans="1:20" s="169" customFormat="1" ht="15" customHeight="1">
      <c r="A1355" s="158"/>
      <c r="B1355" s="158"/>
      <c r="C1355" s="325"/>
      <c r="D1355" s="325"/>
      <c r="E1355" s="172"/>
      <c r="F1355" s="172"/>
      <c r="G1355" s="324"/>
      <c r="H1355" s="324"/>
      <c r="J1355" s="168"/>
      <c r="R1355" s="326"/>
      <c r="S1355" s="168"/>
      <c r="T1355" s="168"/>
    </row>
    <row r="1356" spans="1:20" s="169" customFormat="1" ht="15" customHeight="1">
      <c r="A1356" s="158"/>
      <c r="B1356" s="158"/>
      <c r="C1356" s="325"/>
      <c r="D1356" s="325"/>
      <c r="E1356" s="172"/>
      <c r="F1356" s="172"/>
      <c r="G1356" s="324"/>
      <c r="H1356" s="324"/>
      <c r="J1356" s="168"/>
      <c r="R1356" s="326"/>
      <c r="S1356" s="168"/>
      <c r="T1356" s="168"/>
    </row>
    <row r="1357" spans="1:20" s="169" customFormat="1" ht="15" customHeight="1">
      <c r="A1357" s="158"/>
      <c r="B1357" s="158"/>
      <c r="C1357" s="325"/>
      <c r="D1357" s="325"/>
      <c r="E1357" s="172"/>
      <c r="F1357" s="172"/>
      <c r="G1357" s="324"/>
      <c r="H1357" s="324"/>
      <c r="J1357" s="168"/>
      <c r="R1357" s="326"/>
      <c r="S1357" s="168"/>
      <c r="T1357" s="168"/>
    </row>
    <row r="1358" spans="1:20" s="169" customFormat="1" ht="15" customHeight="1">
      <c r="A1358" s="158"/>
      <c r="B1358" s="158"/>
      <c r="C1358" s="325"/>
      <c r="D1358" s="325"/>
      <c r="E1358" s="172"/>
      <c r="F1358" s="172"/>
      <c r="G1358" s="324"/>
      <c r="H1358" s="324"/>
      <c r="J1358" s="168"/>
      <c r="R1358" s="326"/>
      <c r="S1358" s="168"/>
      <c r="T1358" s="168"/>
    </row>
    <row r="1359" spans="1:20" s="169" customFormat="1" ht="15" customHeight="1">
      <c r="A1359" s="158"/>
      <c r="B1359" s="158"/>
      <c r="C1359" s="325"/>
      <c r="D1359" s="325"/>
      <c r="E1359" s="172"/>
      <c r="F1359" s="172"/>
      <c r="G1359" s="324"/>
      <c r="H1359" s="324"/>
      <c r="J1359" s="168"/>
      <c r="R1359" s="326"/>
      <c r="S1359" s="168"/>
      <c r="T1359" s="168"/>
    </row>
    <row r="1360" spans="1:20" s="169" customFormat="1" ht="15" customHeight="1">
      <c r="A1360" s="158"/>
      <c r="B1360" s="158"/>
      <c r="C1360" s="325"/>
      <c r="D1360" s="325"/>
      <c r="E1360" s="172"/>
      <c r="F1360" s="172"/>
      <c r="G1360" s="324"/>
      <c r="H1360" s="324"/>
      <c r="J1360" s="168"/>
      <c r="R1360" s="326"/>
      <c r="S1360" s="168"/>
      <c r="T1360" s="168"/>
    </row>
    <row r="1361" spans="1:20" s="169" customFormat="1" ht="15" customHeight="1">
      <c r="A1361" s="158"/>
      <c r="B1361" s="158"/>
      <c r="C1361" s="325"/>
      <c r="D1361" s="325"/>
      <c r="E1361" s="172"/>
      <c r="F1361" s="172"/>
      <c r="G1361" s="324"/>
      <c r="H1361" s="324"/>
      <c r="J1361" s="168"/>
      <c r="R1361" s="326"/>
      <c r="S1361" s="168"/>
      <c r="T1361" s="168"/>
    </row>
    <row r="1362" spans="1:20" s="169" customFormat="1" ht="15" customHeight="1">
      <c r="A1362" s="158"/>
      <c r="B1362" s="158"/>
      <c r="C1362" s="325"/>
      <c r="D1362" s="325"/>
      <c r="E1362" s="172"/>
      <c r="F1362" s="172"/>
      <c r="G1362" s="324"/>
      <c r="H1362" s="324"/>
      <c r="J1362" s="168"/>
      <c r="R1362" s="326"/>
      <c r="S1362" s="168"/>
      <c r="T1362" s="168"/>
    </row>
    <row r="1363" spans="1:20" s="169" customFormat="1" ht="15" customHeight="1">
      <c r="A1363" s="158"/>
      <c r="B1363" s="158"/>
      <c r="C1363" s="325"/>
      <c r="D1363" s="325"/>
      <c r="E1363" s="172"/>
      <c r="F1363" s="172"/>
      <c r="G1363" s="324"/>
      <c r="H1363" s="324"/>
      <c r="J1363" s="168"/>
      <c r="R1363" s="326"/>
      <c r="S1363" s="168"/>
      <c r="T1363" s="168"/>
    </row>
    <row r="1364" spans="1:20" s="169" customFormat="1" ht="15" customHeight="1">
      <c r="A1364" s="158"/>
      <c r="B1364" s="158"/>
      <c r="C1364" s="325"/>
      <c r="D1364" s="325"/>
      <c r="E1364" s="172"/>
      <c r="F1364" s="172"/>
      <c r="G1364" s="324"/>
      <c r="H1364" s="324"/>
      <c r="J1364" s="168"/>
      <c r="R1364" s="326"/>
      <c r="S1364" s="168"/>
      <c r="T1364" s="168"/>
    </row>
    <row r="1365" spans="1:20" s="169" customFormat="1" ht="15" customHeight="1">
      <c r="A1365" s="158"/>
      <c r="B1365" s="158"/>
      <c r="C1365" s="325"/>
      <c r="D1365" s="325"/>
      <c r="E1365" s="172"/>
      <c r="F1365" s="172"/>
      <c r="G1365" s="324"/>
      <c r="H1365" s="324"/>
      <c r="J1365" s="168"/>
      <c r="R1365" s="326"/>
      <c r="S1365" s="168"/>
      <c r="T1365" s="168"/>
    </row>
    <row r="1366" spans="1:20" s="169" customFormat="1" ht="15" customHeight="1">
      <c r="A1366" s="158"/>
      <c r="B1366" s="158"/>
      <c r="C1366" s="325"/>
      <c r="D1366" s="325"/>
      <c r="E1366" s="172"/>
      <c r="F1366" s="172"/>
      <c r="G1366" s="324"/>
      <c r="H1366" s="324"/>
      <c r="J1366" s="168"/>
      <c r="R1366" s="326"/>
      <c r="S1366" s="168"/>
      <c r="T1366" s="168"/>
    </row>
    <row r="1367" spans="1:20" s="169" customFormat="1" ht="15" customHeight="1">
      <c r="A1367" s="158"/>
      <c r="B1367" s="158"/>
      <c r="C1367" s="325"/>
      <c r="D1367" s="325"/>
      <c r="E1367" s="172"/>
      <c r="F1367" s="172"/>
      <c r="G1367" s="324"/>
      <c r="H1367" s="324"/>
      <c r="J1367" s="168"/>
      <c r="R1367" s="326"/>
      <c r="S1367" s="168"/>
      <c r="T1367" s="168"/>
    </row>
    <row r="1368" spans="1:20" s="169" customFormat="1" ht="15" customHeight="1">
      <c r="A1368" s="158"/>
      <c r="B1368" s="158"/>
      <c r="C1368" s="325"/>
      <c r="D1368" s="325"/>
      <c r="E1368" s="172"/>
      <c r="F1368" s="172"/>
      <c r="G1368" s="324"/>
      <c r="H1368" s="324"/>
      <c r="J1368" s="168"/>
      <c r="R1368" s="326"/>
      <c r="S1368" s="168"/>
      <c r="T1368" s="168"/>
    </row>
    <row r="1369" spans="1:20" s="169" customFormat="1" ht="15" customHeight="1">
      <c r="A1369" s="158"/>
      <c r="B1369" s="158"/>
      <c r="C1369" s="325"/>
      <c r="D1369" s="325"/>
      <c r="E1369" s="172"/>
      <c r="F1369" s="172"/>
      <c r="G1369" s="324"/>
      <c r="H1369" s="324"/>
      <c r="J1369" s="168"/>
      <c r="R1369" s="326"/>
      <c r="S1369" s="168"/>
      <c r="T1369" s="168"/>
    </row>
    <row r="1370" spans="1:20" s="169" customFormat="1" ht="15" customHeight="1">
      <c r="A1370" s="158"/>
      <c r="B1370" s="158"/>
      <c r="C1370" s="325"/>
      <c r="D1370" s="325"/>
      <c r="E1370" s="172"/>
      <c r="F1370" s="172"/>
      <c r="G1370" s="324"/>
      <c r="H1370" s="324"/>
      <c r="J1370" s="168"/>
      <c r="R1370" s="326"/>
      <c r="S1370" s="168"/>
      <c r="T1370" s="168"/>
    </row>
    <row r="1371" spans="1:20" s="169" customFormat="1" ht="15" customHeight="1">
      <c r="A1371" s="158"/>
      <c r="B1371" s="158"/>
      <c r="C1371" s="325"/>
      <c r="D1371" s="325"/>
      <c r="E1371" s="172"/>
      <c r="F1371" s="172"/>
      <c r="G1371" s="324"/>
      <c r="H1371" s="324"/>
      <c r="J1371" s="168"/>
      <c r="R1371" s="326"/>
      <c r="S1371" s="168"/>
      <c r="T1371" s="168"/>
    </row>
  </sheetData>
  <mergeCells count="547">
    <mergeCell ref="C1180:C1182"/>
    <mergeCell ref="E1180:E1181"/>
    <mergeCell ref="F1180:F1181"/>
    <mergeCell ref="G1180:G1182"/>
    <mergeCell ref="H1180:H1182"/>
    <mergeCell ref="D1183:D1186"/>
    <mergeCell ref="E1183:E1185"/>
    <mergeCell ref="F1183:F1185"/>
    <mergeCell ref="G1183:G1185"/>
    <mergeCell ref="H1183:H1185"/>
    <mergeCell ref="A1187:A1188"/>
    <mergeCell ref="B1187:B1188"/>
    <mergeCell ref="C1187:C1188"/>
    <mergeCell ref="G1187:G1188"/>
    <mergeCell ref="H1187:H1188"/>
    <mergeCell ref="A1189:A1191"/>
    <mergeCell ref="B1189:B1191"/>
    <mergeCell ref="C1189:C1191"/>
    <mergeCell ref="G1189:G1191"/>
    <mergeCell ref="H1189:H1191"/>
    <mergeCell ref="F1168:F1177"/>
    <mergeCell ref="G1168:G1179"/>
    <mergeCell ref="H1168:H1179"/>
    <mergeCell ref="J1177:P1177"/>
    <mergeCell ref="E1178:E1179"/>
    <mergeCell ref="F1178:F1179"/>
    <mergeCell ref="D1158:D1167"/>
    <mergeCell ref="E1158:E1160"/>
    <mergeCell ref="F1158:F1160"/>
    <mergeCell ref="G1158:G1167"/>
    <mergeCell ref="H1158:H1167"/>
    <mergeCell ref="E1161:E1167"/>
    <mergeCell ref="F1161:F1167"/>
    <mergeCell ref="D1168:D1179"/>
    <mergeCell ref="E1168:E1177"/>
    <mergeCell ref="J1146:P1146"/>
    <mergeCell ref="E1150:E1154"/>
    <mergeCell ref="F1150:F1154"/>
    <mergeCell ref="C1155:C1157"/>
    <mergeCell ref="E1155:E1156"/>
    <mergeCell ref="F1155:F1156"/>
    <mergeCell ref="G1155:G1157"/>
    <mergeCell ref="H1155:H1157"/>
    <mergeCell ref="D1141:D1143"/>
    <mergeCell ref="E1141:E1142"/>
    <mergeCell ref="F1141:F1142"/>
    <mergeCell ref="G1141:G1142"/>
    <mergeCell ref="H1141:H1142"/>
    <mergeCell ref="D1144:D1154"/>
    <mergeCell ref="E1144:E1149"/>
    <mergeCell ref="F1144:F1149"/>
    <mergeCell ref="G1144:G1149"/>
    <mergeCell ref="H1144:H1149"/>
    <mergeCell ref="L1060:P1060"/>
    <mergeCell ref="L1066:M1066"/>
    <mergeCell ref="L1080:N1080"/>
    <mergeCell ref="I1137:N1137"/>
    <mergeCell ref="C1138:C1140"/>
    <mergeCell ref="E1138:E1139"/>
    <mergeCell ref="F1138:F1139"/>
    <mergeCell ref="G1138:G1140"/>
    <mergeCell ref="H1138:H1140"/>
    <mergeCell ref="C1050:C1052"/>
    <mergeCell ref="E1050:E1051"/>
    <mergeCell ref="F1050:F1051"/>
    <mergeCell ref="G1050:G1052"/>
    <mergeCell ref="H1050:H1052"/>
    <mergeCell ref="D1053:D1055"/>
    <mergeCell ref="E1053:E1054"/>
    <mergeCell ref="F1053:F1054"/>
    <mergeCell ref="G1053:G1056"/>
    <mergeCell ref="H1053:H1056"/>
    <mergeCell ref="D1014:D1016"/>
    <mergeCell ref="G1014:G1015"/>
    <mergeCell ref="H1014:H1015"/>
    <mergeCell ref="D1020:D1024"/>
    <mergeCell ref="D1045:D1048"/>
    <mergeCell ref="G1045:G1048"/>
    <mergeCell ref="H1045:H1048"/>
    <mergeCell ref="D1008:D1010"/>
    <mergeCell ref="G1008:G1010"/>
    <mergeCell ref="H1008:H1010"/>
    <mergeCell ref="E1009:E1010"/>
    <mergeCell ref="F1009:F1010"/>
    <mergeCell ref="D1025:D1040"/>
    <mergeCell ref="D1041:D1044"/>
    <mergeCell ref="G1041:G1044"/>
    <mergeCell ref="H1041:H1044"/>
    <mergeCell ref="C1012:C1013"/>
    <mergeCell ref="G1012:G1013"/>
    <mergeCell ref="H1012:H1013"/>
    <mergeCell ref="D1002:D1005"/>
    <mergeCell ref="E1002:E1003"/>
    <mergeCell ref="F1002:F1003"/>
    <mergeCell ref="G1002:G1005"/>
    <mergeCell ref="H1002:H1005"/>
    <mergeCell ref="E1004:E1005"/>
    <mergeCell ref="F1004:F1005"/>
    <mergeCell ref="D995:D998"/>
    <mergeCell ref="E995:E996"/>
    <mergeCell ref="F995:F996"/>
    <mergeCell ref="G995:G998"/>
    <mergeCell ref="H995:H998"/>
    <mergeCell ref="E997:E998"/>
    <mergeCell ref="F997:F998"/>
    <mergeCell ref="D991:D994"/>
    <mergeCell ref="E991:E992"/>
    <mergeCell ref="F991:F992"/>
    <mergeCell ref="G991:G994"/>
    <mergeCell ref="H991:H994"/>
    <mergeCell ref="E993:E994"/>
    <mergeCell ref="F993:F994"/>
    <mergeCell ref="D979:D982"/>
    <mergeCell ref="E979:E980"/>
    <mergeCell ref="F979:F980"/>
    <mergeCell ref="G979:G982"/>
    <mergeCell ref="H979:H982"/>
    <mergeCell ref="E981:E982"/>
    <mergeCell ref="F981:F982"/>
    <mergeCell ref="D987:D990"/>
    <mergeCell ref="E987:E988"/>
    <mergeCell ref="F987:F988"/>
    <mergeCell ref="G987:G990"/>
    <mergeCell ref="H987:H990"/>
    <mergeCell ref="E989:E990"/>
    <mergeCell ref="F989:F990"/>
    <mergeCell ref="D983:D986"/>
    <mergeCell ref="E983:E984"/>
    <mergeCell ref="F983:F984"/>
    <mergeCell ref="G983:G986"/>
    <mergeCell ref="H983:H986"/>
    <mergeCell ref="E985:E986"/>
    <mergeCell ref="F985:F986"/>
    <mergeCell ref="J959:P959"/>
    <mergeCell ref="E961:E963"/>
    <mergeCell ref="F961:F963"/>
    <mergeCell ref="J961:P961"/>
    <mergeCell ref="D965:D974"/>
    <mergeCell ref="E965:E966"/>
    <mergeCell ref="F965:F966"/>
    <mergeCell ref="G965:G973"/>
    <mergeCell ref="H965:H973"/>
    <mergeCell ref="D959:D964"/>
    <mergeCell ref="E959:E960"/>
    <mergeCell ref="F959:F960"/>
    <mergeCell ref="G959:G963"/>
    <mergeCell ref="E967:E973"/>
    <mergeCell ref="F967:F973"/>
    <mergeCell ref="J960:P960"/>
    <mergeCell ref="H949:H952"/>
    <mergeCell ref="D975:D978"/>
    <mergeCell ref="E975:E976"/>
    <mergeCell ref="F975:F976"/>
    <mergeCell ref="G975:G978"/>
    <mergeCell ref="H959:H963"/>
    <mergeCell ref="H975:H978"/>
    <mergeCell ref="E977:E978"/>
    <mergeCell ref="F977:F978"/>
    <mergeCell ref="D917:D919"/>
    <mergeCell ref="E917:E918"/>
    <mergeCell ref="F917:F918"/>
    <mergeCell ref="G917:G919"/>
    <mergeCell ref="H917:H919"/>
    <mergeCell ref="E951:E952"/>
    <mergeCell ref="F951:F952"/>
    <mergeCell ref="O922:P922"/>
    <mergeCell ref="C913:C916"/>
    <mergeCell ref="E913:E914"/>
    <mergeCell ref="F913:F914"/>
    <mergeCell ref="G913:G916"/>
    <mergeCell ref="H913:H916"/>
    <mergeCell ref="E915:E916"/>
    <mergeCell ref="F915:F916"/>
    <mergeCell ref="D935:D939"/>
    <mergeCell ref="E935:E936"/>
    <mergeCell ref="F935:F936"/>
    <mergeCell ref="G935:G939"/>
    <mergeCell ref="H935:H939"/>
    <mergeCell ref="D949:D952"/>
    <mergeCell ref="E949:E950"/>
    <mergeCell ref="F949:F950"/>
    <mergeCell ref="G949:G952"/>
    <mergeCell ref="D907:D911"/>
    <mergeCell ref="E907:E908"/>
    <mergeCell ref="F907:F908"/>
    <mergeCell ref="G907:G911"/>
    <mergeCell ref="H907:H911"/>
    <mergeCell ref="E909:E911"/>
    <mergeCell ref="F909:F911"/>
    <mergeCell ref="D800:D802"/>
    <mergeCell ref="E800:E801"/>
    <mergeCell ref="F800:F801"/>
    <mergeCell ref="G800:G801"/>
    <mergeCell ref="H800:H801"/>
    <mergeCell ref="E802:E804"/>
    <mergeCell ref="F802:F804"/>
    <mergeCell ref="D903:D906"/>
    <mergeCell ref="E903:E904"/>
    <mergeCell ref="F903:F904"/>
    <mergeCell ref="G903:G905"/>
    <mergeCell ref="H903:H905"/>
    <mergeCell ref="E905:E906"/>
    <mergeCell ref="F905:F906"/>
    <mergeCell ref="D856:D858"/>
    <mergeCell ref="E856:E857"/>
    <mergeCell ref="F856:F857"/>
    <mergeCell ref="E858:E859"/>
    <mergeCell ref="F858:F859"/>
    <mergeCell ref="C796:C799"/>
    <mergeCell ref="E796:E797"/>
    <mergeCell ref="F796:F797"/>
    <mergeCell ref="G796:G799"/>
    <mergeCell ref="D786:D790"/>
    <mergeCell ref="E786:E789"/>
    <mergeCell ref="F786:F789"/>
    <mergeCell ref="G786:G789"/>
    <mergeCell ref="E798:E799"/>
    <mergeCell ref="F798:F799"/>
    <mergeCell ref="D791:D795"/>
    <mergeCell ref="E791:E793"/>
    <mergeCell ref="F791:F793"/>
    <mergeCell ref="G791:G794"/>
    <mergeCell ref="C768:C769"/>
    <mergeCell ref="G768:G769"/>
    <mergeCell ref="H768:H769"/>
    <mergeCell ref="D770:D785"/>
    <mergeCell ref="G770:G771"/>
    <mergeCell ref="H770:H771"/>
    <mergeCell ref="E794:E795"/>
    <mergeCell ref="F794:F795"/>
    <mergeCell ref="G856:G857"/>
    <mergeCell ref="H856:H857"/>
    <mergeCell ref="H796:H799"/>
    <mergeCell ref="H786:H789"/>
    <mergeCell ref="H791:H794"/>
    <mergeCell ref="D752:D753"/>
    <mergeCell ref="G752:G753"/>
    <mergeCell ref="H752:H753"/>
    <mergeCell ref="E753:E754"/>
    <mergeCell ref="F753:F754"/>
    <mergeCell ref="D758:D763"/>
    <mergeCell ref="E758:E761"/>
    <mergeCell ref="F758:F761"/>
    <mergeCell ref="G758:G763"/>
    <mergeCell ref="H758:H763"/>
    <mergeCell ref="E762:E763"/>
    <mergeCell ref="F762:F763"/>
    <mergeCell ref="D745:D751"/>
    <mergeCell ref="E745:E746"/>
    <mergeCell ref="F745:F746"/>
    <mergeCell ref="G745:G749"/>
    <mergeCell ref="H745:H749"/>
    <mergeCell ref="E747:E751"/>
    <mergeCell ref="F747:F751"/>
    <mergeCell ref="D731:D743"/>
    <mergeCell ref="E731:E732"/>
    <mergeCell ref="F731:F732"/>
    <mergeCell ref="G731:G743"/>
    <mergeCell ref="H731:H743"/>
    <mergeCell ref="E733:E743"/>
    <mergeCell ref="F733:F743"/>
    <mergeCell ref="D727:D729"/>
    <mergeCell ref="E727:E728"/>
    <mergeCell ref="F727:F728"/>
    <mergeCell ref="G727:G729"/>
    <mergeCell ref="H727:H729"/>
    <mergeCell ref="E729:E730"/>
    <mergeCell ref="F729:F730"/>
    <mergeCell ref="D710:D713"/>
    <mergeCell ref="E710:E711"/>
    <mergeCell ref="F710:F711"/>
    <mergeCell ref="G710:G713"/>
    <mergeCell ref="H710:H713"/>
    <mergeCell ref="E712:E713"/>
    <mergeCell ref="F712:F713"/>
    <mergeCell ref="M701:N701"/>
    <mergeCell ref="D702:D705"/>
    <mergeCell ref="E702:E703"/>
    <mergeCell ref="F702:F703"/>
    <mergeCell ref="G702:G705"/>
    <mergeCell ref="H702:H705"/>
    <mergeCell ref="D663:D666"/>
    <mergeCell ref="E663:E664"/>
    <mergeCell ref="F663:F664"/>
    <mergeCell ref="G663:G666"/>
    <mergeCell ref="H663:H666"/>
    <mergeCell ref="E665:E666"/>
    <mergeCell ref="F665:F666"/>
    <mergeCell ref="D655:D660"/>
    <mergeCell ref="E656:E658"/>
    <mergeCell ref="F656:F658"/>
    <mergeCell ref="B661:B662"/>
    <mergeCell ref="C661:C662"/>
    <mergeCell ref="G661:G662"/>
    <mergeCell ref="F575:F577"/>
    <mergeCell ref="J605:P605"/>
    <mergeCell ref="D649:D654"/>
    <mergeCell ref="E650:E652"/>
    <mergeCell ref="F650:F652"/>
    <mergeCell ref="H661:H662"/>
    <mergeCell ref="D562:D572"/>
    <mergeCell ref="E563:E567"/>
    <mergeCell ref="F563:F567"/>
    <mergeCell ref="D573:D577"/>
    <mergeCell ref="E573:E574"/>
    <mergeCell ref="F573:F574"/>
    <mergeCell ref="G573:G577"/>
    <mergeCell ref="H573:H577"/>
    <mergeCell ref="E575:E577"/>
    <mergeCell ref="J493:P493"/>
    <mergeCell ref="D498:D501"/>
    <mergeCell ref="E498:E499"/>
    <mergeCell ref="F498:F499"/>
    <mergeCell ref="G498:G501"/>
    <mergeCell ref="H498:H501"/>
    <mergeCell ref="E500:E501"/>
    <mergeCell ref="F500:F501"/>
    <mergeCell ref="J443:P443"/>
    <mergeCell ref="F448:F449"/>
    <mergeCell ref="G448:G451"/>
    <mergeCell ref="H448:H451"/>
    <mergeCell ref="D460:D463"/>
    <mergeCell ref="E460:E461"/>
    <mergeCell ref="F460:F461"/>
    <mergeCell ref="G460:G463"/>
    <mergeCell ref="H460:H463"/>
    <mergeCell ref="D454:D457"/>
    <mergeCell ref="E454:E455"/>
    <mergeCell ref="F454:F455"/>
    <mergeCell ref="G454:G457"/>
    <mergeCell ref="H454:H457"/>
    <mergeCell ref="C478:C479"/>
    <mergeCell ref="D480:D490"/>
    <mergeCell ref="B490:B491"/>
    <mergeCell ref="B423:B424"/>
    <mergeCell ref="C423:C424"/>
    <mergeCell ref="G423:G424"/>
    <mergeCell ref="H423:H424"/>
    <mergeCell ref="D425:D427"/>
    <mergeCell ref="E425:E426"/>
    <mergeCell ref="F425:F426"/>
    <mergeCell ref="G425:G427"/>
    <mergeCell ref="H425:H427"/>
    <mergeCell ref="D472:D475"/>
    <mergeCell ref="E472:E473"/>
    <mergeCell ref="F472:F473"/>
    <mergeCell ref="G472:G475"/>
    <mergeCell ref="H472:H475"/>
    <mergeCell ref="D466:D469"/>
    <mergeCell ref="E466:E467"/>
    <mergeCell ref="F466:F467"/>
    <mergeCell ref="G466:G469"/>
    <mergeCell ref="H466:H469"/>
    <mergeCell ref="D448:D451"/>
    <mergeCell ref="E448:E449"/>
    <mergeCell ref="E405:E406"/>
    <mergeCell ref="F405:F406"/>
    <mergeCell ref="G405:G409"/>
    <mergeCell ref="H405:H409"/>
    <mergeCell ref="D410:D413"/>
    <mergeCell ref="G410:G413"/>
    <mergeCell ref="H410:H413"/>
    <mergeCell ref="E411:E419"/>
    <mergeCell ref="F411:F419"/>
    <mergeCell ref="D405:D407"/>
    <mergeCell ref="D395:D397"/>
    <mergeCell ref="E395:E396"/>
    <mergeCell ref="F395:F396"/>
    <mergeCell ref="G395:G399"/>
    <mergeCell ref="H395:H399"/>
    <mergeCell ref="E400:E401"/>
    <mergeCell ref="F400:F401"/>
    <mergeCell ref="G400:G404"/>
    <mergeCell ref="H400:H404"/>
    <mergeCell ref="D400:D402"/>
    <mergeCell ref="D391:D394"/>
    <mergeCell ref="E391:E392"/>
    <mergeCell ref="F391:F392"/>
    <mergeCell ref="G391:G394"/>
    <mergeCell ref="H391:H394"/>
    <mergeCell ref="E393:E394"/>
    <mergeCell ref="F393:F394"/>
    <mergeCell ref="D387:D390"/>
    <mergeCell ref="E387:E388"/>
    <mergeCell ref="F387:F388"/>
    <mergeCell ref="G387:G390"/>
    <mergeCell ref="H387:H390"/>
    <mergeCell ref="E389:E390"/>
    <mergeCell ref="F389:F390"/>
    <mergeCell ref="J339:P339"/>
    <mergeCell ref="E340:E341"/>
    <mergeCell ref="F340:F341"/>
    <mergeCell ref="J341:P341"/>
    <mergeCell ref="J300:P300"/>
    <mergeCell ref="J306:P306"/>
    <mergeCell ref="J336:P336"/>
    <mergeCell ref="J337:P337"/>
    <mergeCell ref="D383:D386"/>
    <mergeCell ref="E383:E384"/>
    <mergeCell ref="F383:F384"/>
    <mergeCell ref="G383:G386"/>
    <mergeCell ref="H383:H386"/>
    <mergeCell ref="E385:E386"/>
    <mergeCell ref="F385:F386"/>
    <mergeCell ref="D338:D341"/>
    <mergeCell ref="E338:E339"/>
    <mergeCell ref="F338:F339"/>
    <mergeCell ref="G338:G341"/>
    <mergeCell ref="H338:H341"/>
    <mergeCell ref="D291:D295"/>
    <mergeCell ref="G291:G292"/>
    <mergeCell ref="H291:H292"/>
    <mergeCell ref="D299:D301"/>
    <mergeCell ref="E299:E300"/>
    <mergeCell ref="F299:F300"/>
    <mergeCell ref="D277:D278"/>
    <mergeCell ref="E277:E278"/>
    <mergeCell ref="F277:F278"/>
    <mergeCell ref="G277:G280"/>
    <mergeCell ref="H277:H280"/>
    <mergeCell ref="E279:E280"/>
    <mergeCell ref="F279:F280"/>
    <mergeCell ref="B272:B273"/>
    <mergeCell ref="G272:G273"/>
    <mergeCell ref="H272:H273"/>
    <mergeCell ref="C274:C276"/>
    <mergeCell ref="E274:E275"/>
    <mergeCell ref="F274:F275"/>
    <mergeCell ref="G274:G276"/>
    <mergeCell ref="H274:H276"/>
    <mergeCell ref="C264:C265"/>
    <mergeCell ref="G264:G265"/>
    <mergeCell ref="H264:H265"/>
    <mergeCell ref="A270:A271"/>
    <mergeCell ref="G270:G271"/>
    <mergeCell ref="H270:H271"/>
    <mergeCell ref="C257:C263"/>
    <mergeCell ref="E257:E258"/>
    <mergeCell ref="F257:F258"/>
    <mergeCell ref="G257:G263"/>
    <mergeCell ref="H257:H263"/>
    <mergeCell ref="E259:E263"/>
    <mergeCell ref="F259:F263"/>
    <mergeCell ref="A251:A252"/>
    <mergeCell ref="B251:B252"/>
    <mergeCell ref="C251:C252"/>
    <mergeCell ref="G251:G252"/>
    <mergeCell ref="H251:H252"/>
    <mergeCell ref="C253:C254"/>
    <mergeCell ref="G253:G254"/>
    <mergeCell ref="H253:H254"/>
    <mergeCell ref="C247:C250"/>
    <mergeCell ref="E247:E248"/>
    <mergeCell ref="F247:F248"/>
    <mergeCell ref="G247:G250"/>
    <mergeCell ref="H247:H250"/>
    <mergeCell ref="E249:E250"/>
    <mergeCell ref="F249:F250"/>
    <mergeCell ref="C243:C246"/>
    <mergeCell ref="E243:E244"/>
    <mergeCell ref="F243:F244"/>
    <mergeCell ref="G243:G246"/>
    <mergeCell ref="H243:H246"/>
    <mergeCell ref="E245:E246"/>
    <mergeCell ref="F245:F246"/>
    <mergeCell ref="C237:C242"/>
    <mergeCell ref="E237:E240"/>
    <mergeCell ref="F237:F240"/>
    <mergeCell ref="G237:G242"/>
    <mergeCell ref="H237:H242"/>
    <mergeCell ref="E241:E242"/>
    <mergeCell ref="F241:F242"/>
    <mergeCell ref="C211:C213"/>
    <mergeCell ref="G211:G213"/>
    <mergeCell ref="H211:H213"/>
    <mergeCell ref="C222:C223"/>
    <mergeCell ref="G222:G223"/>
    <mergeCell ref="H222:H223"/>
    <mergeCell ref="C171:C173"/>
    <mergeCell ref="E171:E172"/>
    <mergeCell ref="F171:F172"/>
    <mergeCell ref="G171:G173"/>
    <mergeCell ref="H171:H173"/>
    <mergeCell ref="C176:C177"/>
    <mergeCell ref="G176:G177"/>
    <mergeCell ref="H176:H177"/>
    <mergeCell ref="C165:C168"/>
    <mergeCell ref="G165:G168"/>
    <mergeCell ref="H165:H168"/>
    <mergeCell ref="E166:E168"/>
    <mergeCell ref="F166:F168"/>
    <mergeCell ref="B169:B170"/>
    <mergeCell ref="G169:G170"/>
    <mergeCell ref="H169:H170"/>
    <mergeCell ref="B161:B162"/>
    <mergeCell ref="G161:G162"/>
    <mergeCell ref="H161:H162"/>
    <mergeCell ref="C163:C164"/>
    <mergeCell ref="G163:G164"/>
    <mergeCell ref="H163:H164"/>
    <mergeCell ref="F138:F139"/>
    <mergeCell ref="C98:C100"/>
    <mergeCell ref="G98:G100"/>
    <mergeCell ref="G138:G143"/>
    <mergeCell ref="H138:H143"/>
    <mergeCell ref="E141:E143"/>
    <mergeCell ref="F141:F143"/>
    <mergeCell ref="C154:C157"/>
    <mergeCell ref="E154:E156"/>
    <mergeCell ref="F154:F156"/>
    <mergeCell ref="G154:G157"/>
    <mergeCell ref="H154:H157"/>
    <mergeCell ref="A6:A7"/>
    <mergeCell ref="B6:B7"/>
    <mergeCell ref="C6:C7"/>
    <mergeCell ref="G6:G7"/>
    <mergeCell ref="H6:H7"/>
    <mergeCell ref="H98:H100"/>
    <mergeCell ref="J127:N127"/>
    <mergeCell ref="C131:C134"/>
    <mergeCell ref="E131:E133"/>
    <mergeCell ref="F131:F133"/>
    <mergeCell ref="G131:G137"/>
    <mergeCell ref="H131:H137"/>
    <mergeCell ref="B8:B9"/>
    <mergeCell ref="G8:G9"/>
    <mergeCell ref="H8:H9"/>
    <mergeCell ref="C10:C11"/>
    <mergeCell ref="G10:G11"/>
    <mergeCell ref="H10:H11"/>
    <mergeCell ref="B133:B139"/>
    <mergeCell ref="A134:A138"/>
    <mergeCell ref="E134:E137"/>
    <mergeCell ref="F134:F137"/>
    <mergeCell ref="C138:C139"/>
    <mergeCell ref="E138:E139"/>
    <mergeCell ref="A2:A3"/>
    <mergeCell ref="B2:B3"/>
    <mergeCell ref="C2:C3"/>
    <mergeCell ref="D2:D3"/>
    <mergeCell ref="G2:H2"/>
    <mergeCell ref="I2:R3"/>
    <mergeCell ref="A4:A5"/>
    <mergeCell ref="B4:B5"/>
    <mergeCell ref="C4:C5"/>
    <mergeCell ref="G4:G5"/>
    <mergeCell ref="H4:H5"/>
  </mergeCells>
  <phoneticPr fontId="15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94" fitToHeight="30" orientation="landscape" r:id="rId1"/>
  <headerFooter alignWithMargins="0">
    <oddFooter>&amp;C&amp;P</oddFooter>
  </headerFooter>
  <ignoredErrors>
    <ignoredError sqref="R502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64"/>
  <sheetViews>
    <sheetView zoomScale="80" zoomScaleNormal="80" workbookViewId="0">
      <pane xSplit="1" ySplit="2" topLeftCell="B74" activePane="bottomRight" state="frozen"/>
      <selection activeCell="R59" activeCellId="4" sqref="R19 R13 R51 R54 R59"/>
      <selection pane="topRight" activeCell="R59" activeCellId="4" sqref="R19 R13 R51 R54 R59"/>
      <selection pane="bottomLeft" activeCell="R59" activeCellId="4" sqref="R19 R13 R51 R54 R59"/>
      <selection pane="bottomRight" activeCell="I85" sqref="I85"/>
    </sheetView>
  </sheetViews>
  <sheetFormatPr defaultRowHeight="21.95" customHeight="1"/>
  <cols>
    <col min="1" max="1" width="10" style="407" customWidth="1"/>
    <col min="2" max="2" width="20" style="407" customWidth="1"/>
    <col min="3" max="3" width="16.21875" style="412" customWidth="1"/>
    <col min="4" max="4" width="14.44140625" style="406" customWidth="1"/>
    <col min="5" max="5" width="15.6640625" style="406" customWidth="1"/>
    <col min="6" max="6" width="15.77734375" style="406" hidden="1" customWidth="1"/>
    <col min="7" max="7" width="16.109375" style="406" hidden="1" customWidth="1"/>
    <col min="8" max="8" width="16.21875" style="406" customWidth="1"/>
    <col min="9" max="9" width="12.88671875" style="406" customWidth="1"/>
    <col min="10" max="10" width="14.77734375" style="406" customWidth="1"/>
    <col min="11" max="11" width="13.21875" style="406" customWidth="1"/>
    <col min="12" max="12" width="14" style="412" customWidth="1"/>
    <col min="13" max="13" width="16.21875" style="407" customWidth="1"/>
    <col min="14" max="14" width="13.88671875" style="439" customWidth="1"/>
    <col min="15" max="15" width="12.6640625" style="439" customWidth="1"/>
    <col min="16" max="16" width="11.88671875" style="439" customWidth="1"/>
    <col min="17" max="17" width="11.21875" style="439" customWidth="1"/>
    <col min="18" max="18" width="13.109375" style="439" customWidth="1"/>
    <col min="19" max="254" width="8.88671875" style="407"/>
    <col min="255" max="255" width="10" style="407" customWidth="1"/>
    <col min="256" max="256" width="20" style="407" customWidth="1"/>
    <col min="257" max="257" width="14.77734375" style="407" customWidth="1"/>
    <col min="258" max="258" width="13.6640625" style="407" customWidth="1"/>
    <col min="259" max="260" width="14.109375" style="407" customWidth="1"/>
    <col min="261" max="261" width="12.5546875" style="407" customWidth="1"/>
    <col min="262" max="262" width="11.21875" style="407" customWidth="1"/>
    <col min="263" max="263" width="13.44140625" style="407" customWidth="1"/>
    <col min="264" max="264" width="14" style="407" customWidth="1"/>
    <col min="265" max="265" width="14.44140625" style="407" customWidth="1"/>
    <col min="266" max="266" width="13.77734375" style="407" bestFit="1" customWidth="1"/>
    <col min="267" max="510" width="8.88671875" style="407"/>
    <col min="511" max="511" width="10" style="407" customWidth="1"/>
    <col min="512" max="512" width="20" style="407" customWidth="1"/>
    <col min="513" max="513" width="14.77734375" style="407" customWidth="1"/>
    <col min="514" max="514" width="13.6640625" style="407" customWidth="1"/>
    <col min="515" max="516" width="14.109375" style="407" customWidth="1"/>
    <col min="517" max="517" width="12.5546875" style="407" customWidth="1"/>
    <col min="518" max="518" width="11.21875" style="407" customWidth="1"/>
    <col min="519" max="519" width="13.44140625" style="407" customWidth="1"/>
    <col min="520" max="520" width="14" style="407" customWidth="1"/>
    <col min="521" max="521" width="14.44140625" style="407" customWidth="1"/>
    <col min="522" max="522" width="13.77734375" style="407" bestFit="1" customWidth="1"/>
    <col min="523" max="766" width="8.88671875" style="407"/>
    <col min="767" max="767" width="10" style="407" customWidth="1"/>
    <col min="768" max="768" width="20" style="407" customWidth="1"/>
    <col min="769" max="769" width="14.77734375" style="407" customWidth="1"/>
    <col min="770" max="770" width="13.6640625" style="407" customWidth="1"/>
    <col min="771" max="772" width="14.109375" style="407" customWidth="1"/>
    <col min="773" max="773" width="12.5546875" style="407" customWidth="1"/>
    <col min="774" max="774" width="11.21875" style="407" customWidth="1"/>
    <col min="775" max="775" width="13.44140625" style="407" customWidth="1"/>
    <col min="776" max="776" width="14" style="407" customWidth="1"/>
    <col min="777" max="777" width="14.44140625" style="407" customWidth="1"/>
    <col min="778" max="778" width="13.77734375" style="407" bestFit="1" customWidth="1"/>
    <col min="779" max="1022" width="8.88671875" style="407"/>
    <col min="1023" max="1023" width="10" style="407" customWidth="1"/>
    <col min="1024" max="1024" width="20" style="407" customWidth="1"/>
    <col min="1025" max="1025" width="14.77734375" style="407" customWidth="1"/>
    <col min="1026" max="1026" width="13.6640625" style="407" customWidth="1"/>
    <col min="1027" max="1028" width="14.109375" style="407" customWidth="1"/>
    <col min="1029" max="1029" width="12.5546875" style="407" customWidth="1"/>
    <col min="1030" max="1030" width="11.21875" style="407" customWidth="1"/>
    <col min="1031" max="1031" width="13.44140625" style="407" customWidth="1"/>
    <col min="1032" max="1032" width="14" style="407" customWidth="1"/>
    <col min="1033" max="1033" width="14.44140625" style="407" customWidth="1"/>
    <col min="1034" max="1034" width="13.77734375" style="407" bestFit="1" customWidth="1"/>
    <col min="1035" max="1278" width="8.88671875" style="407"/>
    <col min="1279" max="1279" width="10" style="407" customWidth="1"/>
    <col min="1280" max="1280" width="20" style="407" customWidth="1"/>
    <col min="1281" max="1281" width="14.77734375" style="407" customWidth="1"/>
    <col min="1282" max="1282" width="13.6640625" style="407" customWidth="1"/>
    <col min="1283" max="1284" width="14.109375" style="407" customWidth="1"/>
    <col min="1285" max="1285" width="12.5546875" style="407" customWidth="1"/>
    <col min="1286" max="1286" width="11.21875" style="407" customWidth="1"/>
    <col min="1287" max="1287" width="13.44140625" style="407" customWidth="1"/>
    <col min="1288" max="1288" width="14" style="407" customWidth="1"/>
    <col min="1289" max="1289" width="14.44140625" style="407" customWidth="1"/>
    <col min="1290" max="1290" width="13.77734375" style="407" bestFit="1" customWidth="1"/>
    <col min="1291" max="1534" width="8.88671875" style="407"/>
    <col min="1535" max="1535" width="10" style="407" customWidth="1"/>
    <col min="1536" max="1536" width="20" style="407" customWidth="1"/>
    <col min="1537" max="1537" width="14.77734375" style="407" customWidth="1"/>
    <col min="1538" max="1538" width="13.6640625" style="407" customWidth="1"/>
    <col min="1539" max="1540" width="14.109375" style="407" customWidth="1"/>
    <col min="1541" max="1541" width="12.5546875" style="407" customWidth="1"/>
    <col min="1542" max="1542" width="11.21875" style="407" customWidth="1"/>
    <col min="1543" max="1543" width="13.44140625" style="407" customWidth="1"/>
    <col min="1544" max="1544" width="14" style="407" customWidth="1"/>
    <col min="1545" max="1545" width="14.44140625" style="407" customWidth="1"/>
    <col min="1546" max="1546" width="13.77734375" style="407" bestFit="1" customWidth="1"/>
    <col min="1547" max="1790" width="8.88671875" style="407"/>
    <col min="1791" max="1791" width="10" style="407" customWidth="1"/>
    <col min="1792" max="1792" width="20" style="407" customWidth="1"/>
    <col min="1793" max="1793" width="14.77734375" style="407" customWidth="1"/>
    <col min="1794" max="1794" width="13.6640625" style="407" customWidth="1"/>
    <col min="1795" max="1796" width="14.109375" style="407" customWidth="1"/>
    <col min="1797" max="1797" width="12.5546875" style="407" customWidth="1"/>
    <col min="1798" max="1798" width="11.21875" style="407" customWidth="1"/>
    <col min="1799" max="1799" width="13.44140625" style="407" customWidth="1"/>
    <col min="1800" max="1800" width="14" style="407" customWidth="1"/>
    <col min="1801" max="1801" width="14.44140625" style="407" customWidth="1"/>
    <col min="1802" max="1802" width="13.77734375" style="407" bestFit="1" customWidth="1"/>
    <col min="1803" max="2046" width="8.88671875" style="407"/>
    <col min="2047" max="2047" width="10" style="407" customWidth="1"/>
    <col min="2048" max="2048" width="20" style="407" customWidth="1"/>
    <col min="2049" max="2049" width="14.77734375" style="407" customWidth="1"/>
    <col min="2050" max="2050" width="13.6640625" style="407" customWidth="1"/>
    <col min="2051" max="2052" width="14.109375" style="407" customWidth="1"/>
    <col min="2053" max="2053" width="12.5546875" style="407" customWidth="1"/>
    <col min="2054" max="2054" width="11.21875" style="407" customWidth="1"/>
    <col min="2055" max="2055" width="13.44140625" style="407" customWidth="1"/>
    <col min="2056" max="2056" width="14" style="407" customWidth="1"/>
    <col min="2057" max="2057" width="14.44140625" style="407" customWidth="1"/>
    <col min="2058" max="2058" width="13.77734375" style="407" bestFit="1" customWidth="1"/>
    <col min="2059" max="2302" width="8.88671875" style="407"/>
    <col min="2303" max="2303" width="10" style="407" customWidth="1"/>
    <col min="2304" max="2304" width="20" style="407" customWidth="1"/>
    <col min="2305" max="2305" width="14.77734375" style="407" customWidth="1"/>
    <col min="2306" max="2306" width="13.6640625" style="407" customWidth="1"/>
    <col min="2307" max="2308" width="14.109375" style="407" customWidth="1"/>
    <col min="2309" max="2309" width="12.5546875" style="407" customWidth="1"/>
    <col min="2310" max="2310" width="11.21875" style="407" customWidth="1"/>
    <col min="2311" max="2311" width="13.44140625" style="407" customWidth="1"/>
    <col min="2312" max="2312" width="14" style="407" customWidth="1"/>
    <col min="2313" max="2313" width="14.44140625" style="407" customWidth="1"/>
    <col min="2314" max="2314" width="13.77734375" style="407" bestFit="1" customWidth="1"/>
    <col min="2315" max="2558" width="8.88671875" style="407"/>
    <col min="2559" max="2559" width="10" style="407" customWidth="1"/>
    <col min="2560" max="2560" width="20" style="407" customWidth="1"/>
    <col min="2561" max="2561" width="14.77734375" style="407" customWidth="1"/>
    <col min="2562" max="2562" width="13.6640625" style="407" customWidth="1"/>
    <col min="2563" max="2564" width="14.109375" style="407" customWidth="1"/>
    <col min="2565" max="2565" width="12.5546875" style="407" customWidth="1"/>
    <col min="2566" max="2566" width="11.21875" style="407" customWidth="1"/>
    <col min="2567" max="2567" width="13.44140625" style="407" customWidth="1"/>
    <col min="2568" max="2568" width="14" style="407" customWidth="1"/>
    <col min="2569" max="2569" width="14.44140625" style="407" customWidth="1"/>
    <col min="2570" max="2570" width="13.77734375" style="407" bestFit="1" customWidth="1"/>
    <col min="2571" max="2814" width="8.88671875" style="407"/>
    <col min="2815" max="2815" width="10" style="407" customWidth="1"/>
    <col min="2816" max="2816" width="20" style="407" customWidth="1"/>
    <col min="2817" max="2817" width="14.77734375" style="407" customWidth="1"/>
    <col min="2818" max="2818" width="13.6640625" style="407" customWidth="1"/>
    <col min="2819" max="2820" width="14.109375" style="407" customWidth="1"/>
    <col min="2821" max="2821" width="12.5546875" style="407" customWidth="1"/>
    <col min="2822" max="2822" width="11.21875" style="407" customWidth="1"/>
    <col min="2823" max="2823" width="13.44140625" style="407" customWidth="1"/>
    <col min="2824" max="2824" width="14" style="407" customWidth="1"/>
    <col min="2825" max="2825" width="14.44140625" style="407" customWidth="1"/>
    <col min="2826" max="2826" width="13.77734375" style="407" bestFit="1" customWidth="1"/>
    <col min="2827" max="3070" width="8.88671875" style="407"/>
    <col min="3071" max="3071" width="10" style="407" customWidth="1"/>
    <col min="3072" max="3072" width="20" style="407" customWidth="1"/>
    <col min="3073" max="3073" width="14.77734375" style="407" customWidth="1"/>
    <col min="3074" max="3074" width="13.6640625" style="407" customWidth="1"/>
    <col min="3075" max="3076" width="14.109375" style="407" customWidth="1"/>
    <col min="3077" max="3077" width="12.5546875" style="407" customWidth="1"/>
    <col min="3078" max="3078" width="11.21875" style="407" customWidth="1"/>
    <col min="3079" max="3079" width="13.44140625" style="407" customWidth="1"/>
    <col min="3080" max="3080" width="14" style="407" customWidth="1"/>
    <col min="3081" max="3081" width="14.44140625" style="407" customWidth="1"/>
    <col min="3082" max="3082" width="13.77734375" style="407" bestFit="1" customWidth="1"/>
    <col min="3083" max="3326" width="8.88671875" style="407"/>
    <col min="3327" max="3327" width="10" style="407" customWidth="1"/>
    <col min="3328" max="3328" width="20" style="407" customWidth="1"/>
    <col min="3329" max="3329" width="14.77734375" style="407" customWidth="1"/>
    <col min="3330" max="3330" width="13.6640625" style="407" customWidth="1"/>
    <col min="3331" max="3332" width="14.109375" style="407" customWidth="1"/>
    <col min="3333" max="3333" width="12.5546875" style="407" customWidth="1"/>
    <col min="3334" max="3334" width="11.21875" style="407" customWidth="1"/>
    <col min="3335" max="3335" width="13.44140625" style="407" customWidth="1"/>
    <col min="3336" max="3336" width="14" style="407" customWidth="1"/>
    <col min="3337" max="3337" width="14.44140625" style="407" customWidth="1"/>
    <col min="3338" max="3338" width="13.77734375" style="407" bestFit="1" customWidth="1"/>
    <col min="3339" max="3582" width="8.88671875" style="407"/>
    <col min="3583" max="3583" width="10" style="407" customWidth="1"/>
    <col min="3584" max="3584" width="20" style="407" customWidth="1"/>
    <col min="3585" max="3585" width="14.77734375" style="407" customWidth="1"/>
    <col min="3586" max="3586" width="13.6640625" style="407" customWidth="1"/>
    <col min="3587" max="3588" width="14.109375" style="407" customWidth="1"/>
    <col min="3589" max="3589" width="12.5546875" style="407" customWidth="1"/>
    <col min="3590" max="3590" width="11.21875" style="407" customWidth="1"/>
    <col min="3591" max="3591" width="13.44140625" style="407" customWidth="1"/>
    <col min="3592" max="3592" width="14" style="407" customWidth="1"/>
    <col min="3593" max="3593" width="14.44140625" style="407" customWidth="1"/>
    <col min="3594" max="3594" width="13.77734375" style="407" bestFit="1" customWidth="1"/>
    <col min="3595" max="3838" width="8.88671875" style="407"/>
    <col min="3839" max="3839" width="10" style="407" customWidth="1"/>
    <col min="3840" max="3840" width="20" style="407" customWidth="1"/>
    <col min="3841" max="3841" width="14.77734375" style="407" customWidth="1"/>
    <col min="3842" max="3842" width="13.6640625" style="407" customWidth="1"/>
    <col min="3843" max="3844" width="14.109375" style="407" customWidth="1"/>
    <col min="3845" max="3845" width="12.5546875" style="407" customWidth="1"/>
    <col min="3846" max="3846" width="11.21875" style="407" customWidth="1"/>
    <col min="3847" max="3847" width="13.44140625" style="407" customWidth="1"/>
    <col min="3848" max="3848" width="14" style="407" customWidth="1"/>
    <col min="3849" max="3849" width="14.44140625" style="407" customWidth="1"/>
    <col min="3850" max="3850" width="13.77734375" style="407" bestFit="1" customWidth="1"/>
    <col min="3851" max="4094" width="8.88671875" style="407"/>
    <col min="4095" max="4095" width="10" style="407" customWidth="1"/>
    <col min="4096" max="4096" width="20" style="407" customWidth="1"/>
    <col min="4097" max="4097" width="14.77734375" style="407" customWidth="1"/>
    <col min="4098" max="4098" width="13.6640625" style="407" customWidth="1"/>
    <col min="4099" max="4100" width="14.109375" style="407" customWidth="1"/>
    <col min="4101" max="4101" width="12.5546875" style="407" customWidth="1"/>
    <col min="4102" max="4102" width="11.21875" style="407" customWidth="1"/>
    <col min="4103" max="4103" width="13.44140625" style="407" customWidth="1"/>
    <col min="4104" max="4104" width="14" style="407" customWidth="1"/>
    <col min="4105" max="4105" width="14.44140625" style="407" customWidth="1"/>
    <col min="4106" max="4106" width="13.77734375" style="407" bestFit="1" customWidth="1"/>
    <col min="4107" max="4350" width="8.88671875" style="407"/>
    <col min="4351" max="4351" width="10" style="407" customWidth="1"/>
    <col min="4352" max="4352" width="20" style="407" customWidth="1"/>
    <col min="4353" max="4353" width="14.77734375" style="407" customWidth="1"/>
    <col min="4354" max="4354" width="13.6640625" style="407" customWidth="1"/>
    <col min="4355" max="4356" width="14.109375" style="407" customWidth="1"/>
    <col min="4357" max="4357" width="12.5546875" style="407" customWidth="1"/>
    <col min="4358" max="4358" width="11.21875" style="407" customWidth="1"/>
    <col min="4359" max="4359" width="13.44140625" style="407" customWidth="1"/>
    <col min="4360" max="4360" width="14" style="407" customWidth="1"/>
    <col min="4361" max="4361" width="14.44140625" style="407" customWidth="1"/>
    <col min="4362" max="4362" width="13.77734375" style="407" bestFit="1" customWidth="1"/>
    <col min="4363" max="4606" width="8.88671875" style="407"/>
    <col min="4607" max="4607" width="10" style="407" customWidth="1"/>
    <col min="4608" max="4608" width="20" style="407" customWidth="1"/>
    <col min="4609" max="4609" width="14.77734375" style="407" customWidth="1"/>
    <col min="4610" max="4610" width="13.6640625" style="407" customWidth="1"/>
    <col min="4611" max="4612" width="14.109375" style="407" customWidth="1"/>
    <col min="4613" max="4613" width="12.5546875" style="407" customWidth="1"/>
    <col min="4614" max="4614" width="11.21875" style="407" customWidth="1"/>
    <col min="4615" max="4615" width="13.44140625" style="407" customWidth="1"/>
    <col min="4616" max="4616" width="14" style="407" customWidth="1"/>
    <col min="4617" max="4617" width="14.44140625" style="407" customWidth="1"/>
    <col min="4618" max="4618" width="13.77734375" style="407" bestFit="1" customWidth="1"/>
    <col min="4619" max="4862" width="8.88671875" style="407"/>
    <col min="4863" max="4863" width="10" style="407" customWidth="1"/>
    <col min="4864" max="4864" width="20" style="407" customWidth="1"/>
    <col min="4865" max="4865" width="14.77734375" style="407" customWidth="1"/>
    <col min="4866" max="4866" width="13.6640625" style="407" customWidth="1"/>
    <col min="4867" max="4868" width="14.109375" style="407" customWidth="1"/>
    <col min="4869" max="4869" width="12.5546875" style="407" customWidth="1"/>
    <col min="4870" max="4870" width="11.21875" style="407" customWidth="1"/>
    <col min="4871" max="4871" width="13.44140625" style="407" customWidth="1"/>
    <col min="4872" max="4872" width="14" style="407" customWidth="1"/>
    <col min="4873" max="4873" width="14.44140625" style="407" customWidth="1"/>
    <col min="4874" max="4874" width="13.77734375" style="407" bestFit="1" customWidth="1"/>
    <col min="4875" max="5118" width="8.88671875" style="407"/>
    <col min="5119" max="5119" width="10" style="407" customWidth="1"/>
    <col min="5120" max="5120" width="20" style="407" customWidth="1"/>
    <col min="5121" max="5121" width="14.77734375" style="407" customWidth="1"/>
    <col min="5122" max="5122" width="13.6640625" style="407" customWidth="1"/>
    <col min="5123" max="5124" width="14.109375" style="407" customWidth="1"/>
    <col min="5125" max="5125" width="12.5546875" style="407" customWidth="1"/>
    <col min="5126" max="5126" width="11.21875" style="407" customWidth="1"/>
    <col min="5127" max="5127" width="13.44140625" style="407" customWidth="1"/>
    <col min="5128" max="5128" width="14" style="407" customWidth="1"/>
    <col min="5129" max="5129" width="14.44140625" style="407" customWidth="1"/>
    <col min="5130" max="5130" width="13.77734375" style="407" bestFit="1" customWidth="1"/>
    <col min="5131" max="5374" width="8.88671875" style="407"/>
    <col min="5375" max="5375" width="10" style="407" customWidth="1"/>
    <col min="5376" max="5376" width="20" style="407" customWidth="1"/>
    <col min="5377" max="5377" width="14.77734375" style="407" customWidth="1"/>
    <col min="5378" max="5378" width="13.6640625" style="407" customWidth="1"/>
    <col min="5379" max="5380" width="14.109375" style="407" customWidth="1"/>
    <col min="5381" max="5381" width="12.5546875" style="407" customWidth="1"/>
    <col min="5382" max="5382" width="11.21875" style="407" customWidth="1"/>
    <col min="5383" max="5383" width="13.44140625" style="407" customWidth="1"/>
    <col min="5384" max="5384" width="14" style="407" customWidth="1"/>
    <col min="5385" max="5385" width="14.44140625" style="407" customWidth="1"/>
    <col min="5386" max="5386" width="13.77734375" style="407" bestFit="1" customWidth="1"/>
    <col min="5387" max="5630" width="8.88671875" style="407"/>
    <col min="5631" max="5631" width="10" style="407" customWidth="1"/>
    <col min="5632" max="5632" width="20" style="407" customWidth="1"/>
    <col min="5633" max="5633" width="14.77734375" style="407" customWidth="1"/>
    <col min="5634" max="5634" width="13.6640625" style="407" customWidth="1"/>
    <col min="5635" max="5636" width="14.109375" style="407" customWidth="1"/>
    <col min="5637" max="5637" width="12.5546875" style="407" customWidth="1"/>
    <col min="5638" max="5638" width="11.21875" style="407" customWidth="1"/>
    <col min="5639" max="5639" width="13.44140625" style="407" customWidth="1"/>
    <col min="5640" max="5640" width="14" style="407" customWidth="1"/>
    <col min="5641" max="5641" width="14.44140625" style="407" customWidth="1"/>
    <col min="5642" max="5642" width="13.77734375" style="407" bestFit="1" customWidth="1"/>
    <col min="5643" max="5886" width="8.88671875" style="407"/>
    <col min="5887" max="5887" width="10" style="407" customWidth="1"/>
    <col min="5888" max="5888" width="20" style="407" customWidth="1"/>
    <col min="5889" max="5889" width="14.77734375" style="407" customWidth="1"/>
    <col min="5890" max="5890" width="13.6640625" style="407" customWidth="1"/>
    <col min="5891" max="5892" width="14.109375" style="407" customWidth="1"/>
    <col min="5893" max="5893" width="12.5546875" style="407" customWidth="1"/>
    <col min="5894" max="5894" width="11.21875" style="407" customWidth="1"/>
    <col min="5895" max="5895" width="13.44140625" style="407" customWidth="1"/>
    <col min="5896" max="5896" width="14" style="407" customWidth="1"/>
    <col min="5897" max="5897" width="14.44140625" style="407" customWidth="1"/>
    <col min="5898" max="5898" width="13.77734375" style="407" bestFit="1" customWidth="1"/>
    <col min="5899" max="6142" width="8.88671875" style="407"/>
    <col min="6143" max="6143" width="10" style="407" customWidth="1"/>
    <col min="6144" max="6144" width="20" style="407" customWidth="1"/>
    <col min="6145" max="6145" width="14.77734375" style="407" customWidth="1"/>
    <col min="6146" max="6146" width="13.6640625" style="407" customWidth="1"/>
    <col min="6147" max="6148" width="14.109375" style="407" customWidth="1"/>
    <col min="6149" max="6149" width="12.5546875" style="407" customWidth="1"/>
    <col min="6150" max="6150" width="11.21875" style="407" customWidth="1"/>
    <col min="6151" max="6151" width="13.44140625" style="407" customWidth="1"/>
    <col min="6152" max="6152" width="14" style="407" customWidth="1"/>
    <col min="6153" max="6153" width="14.44140625" style="407" customWidth="1"/>
    <col min="6154" max="6154" width="13.77734375" style="407" bestFit="1" customWidth="1"/>
    <col min="6155" max="6398" width="8.88671875" style="407"/>
    <col min="6399" max="6399" width="10" style="407" customWidth="1"/>
    <col min="6400" max="6400" width="20" style="407" customWidth="1"/>
    <col min="6401" max="6401" width="14.77734375" style="407" customWidth="1"/>
    <col min="6402" max="6402" width="13.6640625" style="407" customWidth="1"/>
    <col min="6403" max="6404" width="14.109375" style="407" customWidth="1"/>
    <col min="6405" max="6405" width="12.5546875" style="407" customWidth="1"/>
    <col min="6406" max="6406" width="11.21875" style="407" customWidth="1"/>
    <col min="6407" max="6407" width="13.44140625" style="407" customWidth="1"/>
    <col min="6408" max="6408" width="14" style="407" customWidth="1"/>
    <col min="6409" max="6409" width="14.44140625" style="407" customWidth="1"/>
    <col min="6410" max="6410" width="13.77734375" style="407" bestFit="1" customWidth="1"/>
    <col min="6411" max="6654" width="8.88671875" style="407"/>
    <col min="6655" max="6655" width="10" style="407" customWidth="1"/>
    <col min="6656" max="6656" width="20" style="407" customWidth="1"/>
    <col min="6657" max="6657" width="14.77734375" style="407" customWidth="1"/>
    <col min="6658" max="6658" width="13.6640625" style="407" customWidth="1"/>
    <col min="6659" max="6660" width="14.109375" style="407" customWidth="1"/>
    <col min="6661" max="6661" width="12.5546875" style="407" customWidth="1"/>
    <col min="6662" max="6662" width="11.21875" style="407" customWidth="1"/>
    <col min="6663" max="6663" width="13.44140625" style="407" customWidth="1"/>
    <col min="6664" max="6664" width="14" style="407" customWidth="1"/>
    <col min="6665" max="6665" width="14.44140625" style="407" customWidth="1"/>
    <col min="6666" max="6666" width="13.77734375" style="407" bestFit="1" customWidth="1"/>
    <col min="6667" max="6910" width="8.88671875" style="407"/>
    <col min="6911" max="6911" width="10" style="407" customWidth="1"/>
    <col min="6912" max="6912" width="20" style="407" customWidth="1"/>
    <col min="6913" max="6913" width="14.77734375" style="407" customWidth="1"/>
    <col min="6914" max="6914" width="13.6640625" style="407" customWidth="1"/>
    <col min="6915" max="6916" width="14.109375" style="407" customWidth="1"/>
    <col min="6917" max="6917" width="12.5546875" style="407" customWidth="1"/>
    <col min="6918" max="6918" width="11.21875" style="407" customWidth="1"/>
    <col min="6919" max="6919" width="13.44140625" style="407" customWidth="1"/>
    <col min="6920" max="6920" width="14" style="407" customWidth="1"/>
    <col min="6921" max="6921" width="14.44140625" style="407" customWidth="1"/>
    <col min="6922" max="6922" width="13.77734375" style="407" bestFit="1" customWidth="1"/>
    <col min="6923" max="7166" width="8.88671875" style="407"/>
    <col min="7167" max="7167" width="10" style="407" customWidth="1"/>
    <col min="7168" max="7168" width="20" style="407" customWidth="1"/>
    <col min="7169" max="7169" width="14.77734375" style="407" customWidth="1"/>
    <col min="7170" max="7170" width="13.6640625" style="407" customWidth="1"/>
    <col min="7171" max="7172" width="14.109375" style="407" customWidth="1"/>
    <col min="7173" max="7173" width="12.5546875" style="407" customWidth="1"/>
    <col min="7174" max="7174" width="11.21875" style="407" customWidth="1"/>
    <col min="7175" max="7175" width="13.44140625" style="407" customWidth="1"/>
    <col min="7176" max="7176" width="14" style="407" customWidth="1"/>
    <col min="7177" max="7177" width="14.44140625" style="407" customWidth="1"/>
    <col min="7178" max="7178" width="13.77734375" style="407" bestFit="1" customWidth="1"/>
    <col min="7179" max="7422" width="8.88671875" style="407"/>
    <col min="7423" max="7423" width="10" style="407" customWidth="1"/>
    <col min="7424" max="7424" width="20" style="407" customWidth="1"/>
    <col min="7425" max="7425" width="14.77734375" style="407" customWidth="1"/>
    <col min="7426" max="7426" width="13.6640625" style="407" customWidth="1"/>
    <col min="7427" max="7428" width="14.109375" style="407" customWidth="1"/>
    <col min="7429" max="7429" width="12.5546875" style="407" customWidth="1"/>
    <col min="7430" max="7430" width="11.21875" style="407" customWidth="1"/>
    <col min="7431" max="7431" width="13.44140625" style="407" customWidth="1"/>
    <col min="7432" max="7432" width="14" style="407" customWidth="1"/>
    <col min="7433" max="7433" width="14.44140625" style="407" customWidth="1"/>
    <col min="7434" max="7434" width="13.77734375" style="407" bestFit="1" customWidth="1"/>
    <col min="7435" max="7678" width="8.88671875" style="407"/>
    <col min="7679" max="7679" width="10" style="407" customWidth="1"/>
    <col min="7680" max="7680" width="20" style="407" customWidth="1"/>
    <col min="7681" max="7681" width="14.77734375" style="407" customWidth="1"/>
    <col min="7682" max="7682" width="13.6640625" style="407" customWidth="1"/>
    <col min="7683" max="7684" width="14.109375" style="407" customWidth="1"/>
    <col min="7685" max="7685" width="12.5546875" style="407" customWidth="1"/>
    <col min="7686" max="7686" width="11.21875" style="407" customWidth="1"/>
    <col min="7687" max="7687" width="13.44140625" style="407" customWidth="1"/>
    <col min="7688" max="7688" width="14" style="407" customWidth="1"/>
    <col min="7689" max="7689" width="14.44140625" style="407" customWidth="1"/>
    <col min="7690" max="7690" width="13.77734375" style="407" bestFit="1" customWidth="1"/>
    <col min="7691" max="7934" width="8.88671875" style="407"/>
    <col min="7935" max="7935" width="10" style="407" customWidth="1"/>
    <col min="7936" max="7936" width="20" style="407" customWidth="1"/>
    <col min="7937" max="7937" width="14.77734375" style="407" customWidth="1"/>
    <col min="7938" max="7938" width="13.6640625" style="407" customWidth="1"/>
    <col min="7939" max="7940" width="14.109375" style="407" customWidth="1"/>
    <col min="7941" max="7941" width="12.5546875" style="407" customWidth="1"/>
    <col min="7942" max="7942" width="11.21875" style="407" customWidth="1"/>
    <col min="7943" max="7943" width="13.44140625" style="407" customWidth="1"/>
    <col min="7944" max="7944" width="14" style="407" customWidth="1"/>
    <col min="7945" max="7945" width="14.44140625" style="407" customWidth="1"/>
    <col min="7946" max="7946" width="13.77734375" style="407" bestFit="1" customWidth="1"/>
    <col min="7947" max="8190" width="8.88671875" style="407"/>
    <col min="8191" max="8191" width="10" style="407" customWidth="1"/>
    <col min="8192" max="8192" width="20" style="407" customWidth="1"/>
    <col min="8193" max="8193" width="14.77734375" style="407" customWidth="1"/>
    <col min="8194" max="8194" width="13.6640625" style="407" customWidth="1"/>
    <col min="8195" max="8196" width="14.109375" style="407" customWidth="1"/>
    <col min="8197" max="8197" width="12.5546875" style="407" customWidth="1"/>
    <col min="8198" max="8198" width="11.21875" style="407" customWidth="1"/>
    <col min="8199" max="8199" width="13.44140625" style="407" customWidth="1"/>
    <col min="8200" max="8200" width="14" style="407" customWidth="1"/>
    <col min="8201" max="8201" width="14.44140625" style="407" customWidth="1"/>
    <col min="8202" max="8202" width="13.77734375" style="407" bestFit="1" customWidth="1"/>
    <col min="8203" max="8446" width="8.88671875" style="407"/>
    <col min="8447" max="8447" width="10" style="407" customWidth="1"/>
    <col min="8448" max="8448" width="20" style="407" customWidth="1"/>
    <col min="8449" max="8449" width="14.77734375" style="407" customWidth="1"/>
    <col min="8450" max="8450" width="13.6640625" style="407" customWidth="1"/>
    <col min="8451" max="8452" width="14.109375" style="407" customWidth="1"/>
    <col min="8453" max="8453" width="12.5546875" style="407" customWidth="1"/>
    <col min="8454" max="8454" width="11.21875" style="407" customWidth="1"/>
    <col min="8455" max="8455" width="13.44140625" style="407" customWidth="1"/>
    <col min="8456" max="8456" width="14" style="407" customWidth="1"/>
    <col min="8457" max="8457" width="14.44140625" style="407" customWidth="1"/>
    <col min="8458" max="8458" width="13.77734375" style="407" bestFit="1" customWidth="1"/>
    <col min="8459" max="8702" width="8.88671875" style="407"/>
    <col min="8703" max="8703" width="10" style="407" customWidth="1"/>
    <col min="8704" max="8704" width="20" style="407" customWidth="1"/>
    <col min="8705" max="8705" width="14.77734375" style="407" customWidth="1"/>
    <col min="8706" max="8706" width="13.6640625" style="407" customWidth="1"/>
    <col min="8707" max="8708" width="14.109375" style="407" customWidth="1"/>
    <col min="8709" max="8709" width="12.5546875" style="407" customWidth="1"/>
    <col min="8710" max="8710" width="11.21875" style="407" customWidth="1"/>
    <col min="8711" max="8711" width="13.44140625" style="407" customWidth="1"/>
    <col min="8712" max="8712" width="14" style="407" customWidth="1"/>
    <col min="8713" max="8713" width="14.44140625" style="407" customWidth="1"/>
    <col min="8714" max="8714" width="13.77734375" style="407" bestFit="1" customWidth="1"/>
    <col min="8715" max="8958" width="8.88671875" style="407"/>
    <col min="8959" max="8959" width="10" style="407" customWidth="1"/>
    <col min="8960" max="8960" width="20" style="407" customWidth="1"/>
    <col min="8961" max="8961" width="14.77734375" style="407" customWidth="1"/>
    <col min="8962" max="8962" width="13.6640625" style="407" customWidth="1"/>
    <col min="8963" max="8964" width="14.109375" style="407" customWidth="1"/>
    <col min="8965" max="8965" width="12.5546875" style="407" customWidth="1"/>
    <col min="8966" max="8966" width="11.21875" style="407" customWidth="1"/>
    <col min="8967" max="8967" width="13.44140625" style="407" customWidth="1"/>
    <col min="8968" max="8968" width="14" style="407" customWidth="1"/>
    <col min="8969" max="8969" width="14.44140625" style="407" customWidth="1"/>
    <col min="8970" max="8970" width="13.77734375" style="407" bestFit="1" customWidth="1"/>
    <col min="8971" max="9214" width="8.88671875" style="407"/>
    <col min="9215" max="9215" width="10" style="407" customWidth="1"/>
    <col min="9216" max="9216" width="20" style="407" customWidth="1"/>
    <col min="9217" max="9217" width="14.77734375" style="407" customWidth="1"/>
    <col min="9218" max="9218" width="13.6640625" style="407" customWidth="1"/>
    <col min="9219" max="9220" width="14.109375" style="407" customWidth="1"/>
    <col min="9221" max="9221" width="12.5546875" style="407" customWidth="1"/>
    <col min="9222" max="9222" width="11.21875" style="407" customWidth="1"/>
    <col min="9223" max="9223" width="13.44140625" style="407" customWidth="1"/>
    <col min="9224" max="9224" width="14" style="407" customWidth="1"/>
    <col min="9225" max="9225" width="14.44140625" style="407" customWidth="1"/>
    <col min="9226" max="9226" width="13.77734375" style="407" bestFit="1" customWidth="1"/>
    <col min="9227" max="9470" width="8.88671875" style="407"/>
    <col min="9471" max="9471" width="10" style="407" customWidth="1"/>
    <col min="9472" max="9472" width="20" style="407" customWidth="1"/>
    <col min="9473" max="9473" width="14.77734375" style="407" customWidth="1"/>
    <col min="9474" max="9474" width="13.6640625" style="407" customWidth="1"/>
    <col min="9475" max="9476" width="14.109375" style="407" customWidth="1"/>
    <col min="9477" max="9477" width="12.5546875" style="407" customWidth="1"/>
    <col min="9478" max="9478" width="11.21875" style="407" customWidth="1"/>
    <col min="9479" max="9479" width="13.44140625" style="407" customWidth="1"/>
    <col min="9480" max="9480" width="14" style="407" customWidth="1"/>
    <col min="9481" max="9481" width="14.44140625" style="407" customWidth="1"/>
    <col min="9482" max="9482" width="13.77734375" style="407" bestFit="1" customWidth="1"/>
    <col min="9483" max="9726" width="8.88671875" style="407"/>
    <col min="9727" max="9727" width="10" style="407" customWidth="1"/>
    <col min="9728" max="9728" width="20" style="407" customWidth="1"/>
    <col min="9729" max="9729" width="14.77734375" style="407" customWidth="1"/>
    <col min="9730" max="9730" width="13.6640625" style="407" customWidth="1"/>
    <col min="9731" max="9732" width="14.109375" style="407" customWidth="1"/>
    <col min="9733" max="9733" width="12.5546875" style="407" customWidth="1"/>
    <col min="9734" max="9734" width="11.21875" style="407" customWidth="1"/>
    <col min="9735" max="9735" width="13.44140625" style="407" customWidth="1"/>
    <col min="9736" max="9736" width="14" style="407" customWidth="1"/>
    <col min="9737" max="9737" width="14.44140625" style="407" customWidth="1"/>
    <col min="9738" max="9738" width="13.77734375" style="407" bestFit="1" customWidth="1"/>
    <col min="9739" max="9982" width="8.88671875" style="407"/>
    <col min="9983" max="9983" width="10" style="407" customWidth="1"/>
    <col min="9984" max="9984" width="20" style="407" customWidth="1"/>
    <col min="9985" max="9985" width="14.77734375" style="407" customWidth="1"/>
    <col min="9986" max="9986" width="13.6640625" style="407" customWidth="1"/>
    <col min="9987" max="9988" width="14.109375" style="407" customWidth="1"/>
    <col min="9989" max="9989" width="12.5546875" style="407" customWidth="1"/>
    <col min="9990" max="9990" width="11.21875" style="407" customWidth="1"/>
    <col min="9991" max="9991" width="13.44140625" style="407" customWidth="1"/>
    <col min="9992" max="9992" width="14" style="407" customWidth="1"/>
    <col min="9993" max="9993" width="14.44140625" style="407" customWidth="1"/>
    <col min="9994" max="9994" width="13.77734375" style="407" bestFit="1" customWidth="1"/>
    <col min="9995" max="10238" width="8.88671875" style="407"/>
    <col min="10239" max="10239" width="10" style="407" customWidth="1"/>
    <col min="10240" max="10240" width="20" style="407" customWidth="1"/>
    <col min="10241" max="10241" width="14.77734375" style="407" customWidth="1"/>
    <col min="10242" max="10242" width="13.6640625" style="407" customWidth="1"/>
    <col min="10243" max="10244" width="14.109375" style="407" customWidth="1"/>
    <col min="10245" max="10245" width="12.5546875" style="407" customWidth="1"/>
    <col min="10246" max="10246" width="11.21875" style="407" customWidth="1"/>
    <col min="10247" max="10247" width="13.44140625" style="407" customWidth="1"/>
    <col min="10248" max="10248" width="14" style="407" customWidth="1"/>
    <col min="10249" max="10249" width="14.44140625" style="407" customWidth="1"/>
    <col min="10250" max="10250" width="13.77734375" style="407" bestFit="1" customWidth="1"/>
    <col min="10251" max="10494" width="8.88671875" style="407"/>
    <col min="10495" max="10495" width="10" style="407" customWidth="1"/>
    <col min="10496" max="10496" width="20" style="407" customWidth="1"/>
    <col min="10497" max="10497" width="14.77734375" style="407" customWidth="1"/>
    <col min="10498" max="10498" width="13.6640625" style="407" customWidth="1"/>
    <col min="10499" max="10500" width="14.109375" style="407" customWidth="1"/>
    <col min="10501" max="10501" width="12.5546875" style="407" customWidth="1"/>
    <col min="10502" max="10502" width="11.21875" style="407" customWidth="1"/>
    <col min="10503" max="10503" width="13.44140625" style="407" customWidth="1"/>
    <col min="10504" max="10504" width="14" style="407" customWidth="1"/>
    <col min="10505" max="10505" width="14.44140625" style="407" customWidth="1"/>
    <col min="10506" max="10506" width="13.77734375" style="407" bestFit="1" customWidth="1"/>
    <col min="10507" max="10750" width="8.88671875" style="407"/>
    <col min="10751" max="10751" width="10" style="407" customWidth="1"/>
    <col min="10752" max="10752" width="20" style="407" customWidth="1"/>
    <col min="10753" max="10753" width="14.77734375" style="407" customWidth="1"/>
    <col min="10754" max="10754" width="13.6640625" style="407" customWidth="1"/>
    <col min="10755" max="10756" width="14.109375" style="407" customWidth="1"/>
    <col min="10757" max="10757" width="12.5546875" style="407" customWidth="1"/>
    <col min="10758" max="10758" width="11.21875" style="407" customWidth="1"/>
    <col min="10759" max="10759" width="13.44140625" style="407" customWidth="1"/>
    <col min="10760" max="10760" width="14" style="407" customWidth="1"/>
    <col min="10761" max="10761" width="14.44140625" style="407" customWidth="1"/>
    <col min="10762" max="10762" width="13.77734375" style="407" bestFit="1" customWidth="1"/>
    <col min="10763" max="11006" width="8.88671875" style="407"/>
    <col min="11007" max="11007" width="10" style="407" customWidth="1"/>
    <col min="11008" max="11008" width="20" style="407" customWidth="1"/>
    <col min="11009" max="11009" width="14.77734375" style="407" customWidth="1"/>
    <col min="11010" max="11010" width="13.6640625" style="407" customWidth="1"/>
    <col min="11011" max="11012" width="14.109375" style="407" customWidth="1"/>
    <col min="11013" max="11013" width="12.5546875" style="407" customWidth="1"/>
    <col min="11014" max="11014" width="11.21875" style="407" customWidth="1"/>
    <col min="11015" max="11015" width="13.44140625" style="407" customWidth="1"/>
    <col min="11016" max="11016" width="14" style="407" customWidth="1"/>
    <col min="11017" max="11017" width="14.44140625" style="407" customWidth="1"/>
    <col min="11018" max="11018" width="13.77734375" style="407" bestFit="1" customWidth="1"/>
    <col min="11019" max="11262" width="8.88671875" style="407"/>
    <col min="11263" max="11263" width="10" style="407" customWidth="1"/>
    <col min="11264" max="11264" width="20" style="407" customWidth="1"/>
    <col min="11265" max="11265" width="14.77734375" style="407" customWidth="1"/>
    <col min="11266" max="11266" width="13.6640625" style="407" customWidth="1"/>
    <col min="11267" max="11268" width="14.109375" style="407" customWidth="1"/>
    <col min="11269" max="11269" width="12.5546875" style="407" customWidth="1"/>
    <col min="11270" max="11270" width="11.21875" style="407" customWidth="1"/>
    <col min="11271" max="11271" width="13.44140625" style="407" customWidth="1"/>
    <col min="11272" max="11272" width="14" style="407" customWidth="1"/>
    <col min="11273" max="11273" width="14.44140625" style="407" customWidth="1"/>
    <col min="11274" max="11274" width="13.77734375" style="407" bestFit="1" customWidth="1"/>
    <col min="11275" max="11518" width="8.88671875" style="407"/>
    <col min="11519" max="11519" width="10" style="407" customWidth="1"/>
    <col min="11520" max="11520" width="20" style="407" customWidth="1"/>
    <col min="11521" max="11521" width="14.77734375" style="407" customWidth="1"/>
    <col min="11522" max="11522" width="13.6640625" style="407" customWidth="1"/>
    <col min="11523" max="11524" width="14.109375" style="407" customWidth="1"/>
    <col min="11525" max="11525" width="12.5546875" style="407" customWidth="1"/>
    <col min="11526" max="11526" width="11.21875" style="407" customWidth="1"/>
    <col min="11527" max="11527" width="13.44140625" style="407" customWidth="1"/>
    <col min="11528" max="11528" width="14" style="407" customWidth="1"/>
    <col min="11529" max="11529" width="14.44140625" style="407" customWidth="1"/>
    <col min="11530" max="11530" width="13.77734375" style="407" bestFit="1" customWidth="1"/>
    <col min="11531" max="11774" width="8.88671875" style="407"/>
    <col min="11775" max="11775" width="10" style="407" customWidth="1"/>
    <col min="11776" max="11776" width="20" style="407" customWidth="1"/>
    <col min="11777" max="11777" width="14.77734375" style="407" customWidth="1"/>
    <col min="11778" max="11778" width="13.6640625" style="407" customWidth="1"/>
    <col min="11779" max="11780" width="14.109375" style="407" customWidth="1"/>
    <col min="11781" max="11781" width="12.5546875" style="407" customWidth="1"/>
    <col min="11782" max="11782" width="11.21875" style="407" customWidth="1"/>
    <col min="11783" max="11783" width="13.44140625" style="407" customWidth="1"/>
    <col min="11784" max="11784" width="14" style="407" customWidth="1"/>
    <col min="11785" max="11785" width="14.44140625" style="407" customWidth="1"/>
    <col min="11786" max="11786" width="13.77734375" style="407" bestFit="1" customWidth="1"/>
    <col min="11787" max="12030" width="8.88671875" style="407"/>
    <col min="12031" max="12031" width="10" style="407" customWidth="1"/>
    <col min="12032" max="12032" width="20" style="407" customWidth="1"/>
    <col min="12033" max="12033" width="14.77734375" style="407" customWidth="1"/>
    <col min="12034" max="12034" width="13.6640625" style="407" customWidth="1"/>
    <col min="12035" max="12036" width="14.109375" style="407" customWidth="1"/>
    <col min="12037" max="12037" width="12.5546875" style="407" customWidth="1"/>
    <col min="12038" max="12038" width="11.21875" style="407" customWidth="1"/>
    <col min="12039" max="12039" width="13.44140625" style="407" customWidth="1"/>
    <col min="12040" max="12040" width="14" style="407" customWidth="1"/>
    <col min="12041" max="12041" width="14.44140625" style="407" customWidth="1"/>
    <col min="12042" max="12042" width="13.77734375" style="407" bestFit="1" customWidth="1"/>
    <col min="12043" max="12286" width="8.88671875" style="407"/>
    <col min="12287" max="12287" width="10" style="407" customWidth="1"/>
    <col min="12288" max="12288" width="20" style="407" customWidth="1"/>
    <col min="12289" max="12289" width="14.77734375" style="407" customWidth="1"/>
    <col min="12290" max="12290" width="13.6640625" style="407" customWidth="1"/>
    <col min="12291" max="12292" width="14.109375" style="407" customWidth="1"/>
    <col min="12293" max="12293" width="12.5546875" style="407" customWidth="1"/>
    <col min="12294" max="12294" width="11.21875" style="407" customWidth="1"/>
    <col min="12295" max="12295" width="13.44140625" style="407" customWidth="1"/>
    <col min="12296" max="12296" width="14" style="407" customWidth="1"/>
    <col min="12297" max="12297" width="14.44140625" style="407" customWidth="1"/>
    <col min="12298" max="12298" width="13.77734375" style="407" bestFit="1" customWidth="1"/>
    <col min="12299" max="12542" width="8.88671875" style="407"/>
    <col min="12543" max="12543" width="10" style="407" customWidth="1"/>
    <col min="12544" max="12544" width="20" style="407" customWidth="1"/>
    <col min="12545" max="12545" width="14.77734375" style="407" customWidth="1"/>
    <col min="12546" max="12546" width="13.6640625" style="407" customWidth="1"/>
    <col min="12547" max="12548" width="14.109375" style="407" customWidth="1"/>
    <col min="12549" max="12549" width="12.5546875" style="407" customWidth="1"/>
    <col min="12550" max="12550" width="11.21875" style="407" customWidth="1"/>
    <col min="12551" max="12551" width="13.44140625" style="407" customWidth="1"/>
    <col min="12552" max="12552" width="14" style="407" customWidth="1"/>
    <col min="12553" max="12553" width="14.44140625" style="407" customWidth="1"/>
    <col min="12554" max="12554" width="13.77734375" style="407" bestFit="1" customWidth="1"/>
    <col min="12555" max="12798" width="8.88671875" style="407"/>
    <col min="12799" max="12799" width="10" style="407" customWidth="1"/>
    <col min="12800" max="12800" width="20" style="407" customWidth="1"/>
    <col min="12801" max="12801" width="14.77734375" style="407" customWidth="1"/>
    <col min="12802" max="12802" width="13.6640625" style="407" customWidth="1"/>
    <col min="12803" max="12804" width="14.109375" style="407" customWidth="1"/>
    <col min="12805" max="12805" width="12.5546875" style="407" customWidth="1"/>
    <col min="12806" max="12806" width="11.21875" style="407" customWidth="1"/>
    <col min="12807" max="12807" width="13.44140625" style="407" customWidth="1"/>
    <col min="12808" max="12808" width="14" style="407" customWidth="1"/>
    <col min="12809" max="12809" width="14.44140625" style="407" customWidth="1"/>
    <col min="12810" max="12810" width="13.77734375" style="407" bestFit="1" customWidth="1"/>
    <col min="12811" max="13054" width="8.88671875" style="407"/>
    <col min="13055" max="13055" width="10" style="407" customWidth="1"/>
    <col min="13056" max="13056" width="20" style="407" customWidth="1"/>
    <col min="13057" max="13057" width="14.77734375" style="407" customWidth="1"/>
    <col min="13058" max="13058" width="13.6640625" style="407" customWidth="1"/>
    <col min="13059" max="13060" width="14.109375" style="407" customWidth="1"/>
    <col min="13061" max="13061" width="12.5546875" style="407" customWidth="1"/>
    <col min="13062" max="13062" width="11.21875" style="407" customWidth="1"/>
    <col min="13063" max="13063" width="13.44140625" style="407" customWidth="1"/>
    <col min="13064" max="13064" width="14" style="407" customWidth="1"/>
    <col min="13065" max="13065" width="14.44140625" style="407" customWidth="1"/>
    <col min="13066" max="13066" width="13.77734375" style="407" bestFit="1" customWidth="1"/>
    <col min="13067" max="13310" width="8.88671875" style="407"/>
    <col min="13311" max="13311" width="10" style="407" customWidth="1"/>
    <col min="13312" max="13312" width="20" style="407" customWidth="1"/>
    <col min="13313" max="13313" width="14.77734375" style="407" customWidth="1"/>
    <col min="13314" max="13314" width="13.6640625" style="407" customWidth="1"/>
    <col min="13315" max="13316" width="14.109375" style="407" customWidth="1"/>
    <col min="13317" max="13317" width="12.5546875" style="407" customWidth="1"/>
    <col min="13318" max="13318" width="11.21875" style="407" customWidth="1"/>
    <col min="13319" max="13319" width="13.44140625" style="407" customWidth="1"/>
    <col min="13320" max="13320" width="14" style="407" customWidth="1"/>
    <col min="13321" max="13321" width="14.44140625" style="407" customWidth="1"/>
    <col min="13322" max="13322" width="13.77734375" style="407" bestFit="1" customWidth="1"/>
    <col min="13323" max="13566" width="8.88671875" style="407"/>
    <col min="13567" max="13567" width="10" style="407" customWidth="1"/>
    <col min="13568" max="13568" width="20" style="407" customWidth="1"/>
    <col min="13569" max="13569" width="14.77734375" style="407" customWidth="1"/>
    <col min="13570" max="13570" width="13.6640625" style="407" customWidth="1"/>
    <col min="13571" max="13572" width="14.109375" style="407" customWidth="1"/>
    <col min="13573" max="13573" width="12.5546875" style="407" customWidth="1"/>
    <col min="13574" max="13574" width="11.21875" style="407" customWidth="1"/>
    <col min="13575" max="13575" width="13.44140625" style="407" customWidth="1"/>
    <col min="13576" max="13576" width="14" style="407" customWidth="1"/>
    <col min="13577" max="13577" width="14.44140625" style="407" customWidth="1"/>
    <col min="13578" max="13578" width="13.77734375" style="407" bestFit="1" customWidth="1"/>
    <col min="13579" max="13822" width="8.88671875" style="407"/>
    <col min="13823" max="13823" width="10" style="407" customWidth="1"/>
    <col min="13824" max="13824" width="20" style="407" customWidth="1"/>
    <col min="13825" max="13825" width="14.77734375" style="407" customWidth="1"/>
    <col min="13826" max="13826" width="13.6640625" style="407" customWidth="1"/>
    <col min="13827" max="13828" width="14.109375" style="407" customWidth="1"/>
    <col min="13829" max="13829" width="12.5546875" style="407" customWidth="1"/>
    <col min="13830" max="13830" width="11.21875" style="407" customWidth="1"/>
    <col min="13831" max="13831" width="13.44140625" style="407" customWidth="1"/>
    <col min="13832" max="13832" width="14" style="407" customWidth="1"/>
    <col min="13833" max="13833" width="14.44140625" style="407" customWidth="1"/>
    <col min="13834" max="13834" width="13.77734375" style="407" bestFit="1" customWidth="1"/>
    <col min="13835" max="14078" width="8.88671875" style="407"/>
    <col min="14079" max="14079" width="10" style="407" customWidth="1"/>
    <col min="14080" max="14080" width="20" style="407" customWidth="1"/>
    <col min="14081" max="14081" width="14.77734375" style="407" customWidth="1"/>
    <col min="14082" max="14082" width="13.6640625" style="407" customWidth="1"/>
    <col min="14083" max="14084" width="14.109375" style="407" customWidth="1"/>
    <col min="14085" max="14085" width="12.5546875" style="407" customWidth="1"/>
    <col min="14086" max="14086" width="11.21875" style="407" customWidth="1"/>
    <col min="14087" max="14087" width="13.44140625" style="407" customWidth="1"/>
    <col min="14088" max="14088" width="14" style="407" customWidth="1"/>
    <col min="14089" max="14089" width="14.44140625" style="407" customWidth="1"/>
    <col min="14090" max="14090" width="13.77734375" style="407" bestFit="1" customWidth="1"/>
    <col min="14091" max="14334" width="8.88671875" style="407"/>
    <col min="14335" max="14335" width="10" style="407" customWidth="1"/>
    <col min="14336" max="14336" width="20" style="407" customWidth="1"/>
    <col min="14337" max="14337" width="14.77734375" style="407" customWidth="1"/>
    <col min="14338" max="14338" width="13.6640625" style="407" customWidth="1"/>
    <col min="14339" max="14340" width="14.109375" style="407" customWidth="1"/>
    <col min="14341" max="14341" width="12.5546875" style="407" customWidth="1"/>
    <col min="14342" max="14342" width="11.21875" style="407" customWidth="1"/>
    <col min="14343" max="14343" width="13.44140625" style="407" customWidth="1"/>
    <col min="14344" max="14344" width="14" style="407" customWidth="1"/>
    <col min="14345" max="14345" width="14.44140625" style="407" customWidth="1"/>
    <col min="14346" max="14346" width="13.77734375" style="407" bestFit="1" customWidth="1"/>
    <col min="14347" max="14590" width="8.88671875" style="407"/>
    <col min="14591" max="14591" width="10" style="407" customWidth="1"/>
    <col min="14592" max="14592" width="20" style="407" customWidth="1"/>
    <col min="14593" max="14593" width="14.77734375" style="407" customWidth="1"/>
    <col min="14594" max="14594" width="13.6640625" style="407" customWidth="1"/>
    <col min="14595" max="14596" width="14.109375" style="407" customWidth="1"/>
    <col min="14597" max="14597" width="12.5546875" style="407" customWidth="1"/>
    <col min="14598" max="14598" width="11.21875" style="407" customWidth="1"/>
    <col min="14599" max="14599" width="13.44140625" style="407" customWidth="1"/>
    <col min="14600" max="14600" width="14" style="407" customWidth="1"/>
    <col min="14601" max="14601" width="14.44140625" style="407" customWidth="1"/>
    <col min="14602" max="14602" width="13.77734375" style="407" bestFit="1" customWidth="1"/>
    <col min="14603" max="14846" width="8.88671875" style="407"/>
    <col min="14847" max="14847" width="10" style="407" customWidth="1"/>
    <col min="14848" max="14848" width="20" style="407" customWidth="1"/>
    <col min="14849" max="14849" width="14.77734375" style="407" customWidth="1"/>
    <col min="14850" max="14850" width="13.6640625" style="407" customWidth="1"/>
    <col min="14851" max="14852" width="14.109375" style="407" customWidth="1"/>
    <col min="14853" max="14853" width="12.5546875" style="407" customWidth="1"/>
    <col min="14854" max="14854" width="11.21875" style="407" customWidth="1"/>
    <col min="14855" max="14855" width="13.44140625" style="407" customWidth="1"/>
    <col min="14856" max="14856" width="14" style="407" customWidth="1"/>
    <col min="14857" max="14857" width="14.44140625" style="407" customWidth="1"/>
    <col min="14858" max="14858" width="13.77734375" style="407" bestFit="1" customWidth="1"/>
    <col min="14859" max="15102" width="8.88671875" style="407"/>
    <col min="15103" max="15103" width="10" style="407" customWidth="1"/>
    <col min="15104" max="15104" width="20" style="407" customWidth="1"/>
    <col min="15105" max="15105" width="14.77734375" style="407" customWidth="1"/>
    <col min="15106" max="15106" width="13.6640625" style="407" customWidth="1"/>
    <col min="15107" max="15108" width="14.109375" style="407" customWidth="1"/>
    <col min="15109" max="15109" width="12.5546875" style="407" customWidth="1"/>
    <col min="15110" max="15110" width="11.21875" style="407" customWidth="1"/>
    <col min="15111" max="15111" width="13.44140625" style="407" customWidth="1"/>
    <col min="15112" max="15112" width="14" style="407" customWidth="1"/>
    <col min="15113" max="15113" width="14.44140625" style="407" customWidth="1"/>
    <col min="15114" max="15114" width="13.77734375" style="407" bestFit="1" customWidth="1"/>
    <col min="15115" max="15358" width="8.88671875" style="407"/>
    <col min="15359" max="15359" width="10" style="407" customWidth="1"/>
    <col min="15360" max="15360" width="20" style="407" customWidth="1"/>
    <col min="15361" max="15361" width="14.77734375" style="407" customWidth="1"/>
    <col min="15362" max="15362" width="13.6640625" style="407" customWidth="1"/>
    <col min="15363" max="15364" width="14.109375" style="407" customWidth="1"/>
    <col min="15365" max="15365" width="12.5546875" style="407" customWidth="1"/>
    <col min="15366" max="15366" width="11.21875" style="407" customWidth="1"/>
    <col min="15367" max="15367" width="13.44140625" style="407" customWidth="1"/>
    <col min="15368" max="15368" width="14" style="407" customWidth="1"/>
    <col min="15369" max="15369" width="14.44140625" style="407" customWidth="1"/>
    <col min="15370" max="15370" width="13.77734375" style="407" bestFit="1" customWidth="1"/>
    <col min="15371" max="15614" width="8.88671875" style="407"/>
    <col min="15615" max="15615" width="10" style="407" customWidth="1"/>
    <col min="15616" max="15616" width="20" style="407" customWidth="1"/>
    <col min="15617" max="15617" width="14.77734375" style="407" customWidth="1"/>
    <col min="15618" max="15618" width="13.6640625" style="407" customWidth="1"/>
    <col min="15619" max="15620" width="14.109375" style="407" customWidth="1"/>
    <col min="15621" max="15621" width="12.5546875" style="407" customWidth="1"/>
    <col min="15622" max="15622" width="11.21875" style="407" customWidth="1"/>
    <col min="15623" max="15623" width="13.44140625" style="407" customWidth="1"/>
    <col min="15624" max="15624" width="14" style="407" customWidth="1"/>
    <col min="15625" max="15625" width="14.44140625" style="407" customWidth="1"/>
    <col min="15626" max="15626" width="13.77734375" style="407" bestFit="1" customWidth="1"/>
    <col min="15627" max="15870" width="8.88671875" style="407"/>
    <col min="15871" max="15871" width="10" style="407" customWidth="1"/>
    <col min="15872" max="15872" width="20" style="407" customWidth="1"/>
    <col min="15873" max="15873" width="14.77734375" style="407" customWidth="1"/>
    <col min="15874" max="15874" width="13.6640625" style="407" customWidth="1"/>
    <col min="15875" max="15876" width="14.109375" style="407" customWidth="1"/>
    <col min="15877" max="15877" width="12.5546875" style="407" customWidth="1"/>
    <col min="15878" max="15878" width="11.21875" style="407" customWidth="1"/>
    <col min="15879" max="15879" width="13.44140625" style="407" customWidth="1"/>
    <col min="15880" max="15880" width="14" style="407" customWidth="1"/>
    <col min="15881" max="15881" width="14.44140625" style="407" customWidth="1"/>
    <col min="15882" max="15882" width="13.77734375" style="407" bestFit="1" customWidth="1"/>
    <col min="15883" max="16126" width="8.88671875" style="407"/>
    <col min="16127" max="16127" width="10" style="407" customWidth="1"/>
    <col min="16128" max="16128" width="20" style="407" customWidth="1"/>
    <col min="16129" max="16129" width="14.77734375" style="407" customWidth="1"/>
    <col min="16130" max="16130" width="13.6640625" style="407" customWidth="1"/>
    <col min="16131" max="16132" width="14.109375" style="407" customWidth="1"/>
    <col min="16133" max="16133" width="12.5546875" style="407" customWidth="1"/>
    <col min="16134" max="16134" width="11.21875" style="407" customWidth="1"/>
    <col min="16135" max="16135" width="13.44140625" style="407" customWidth="1"/>
    <col min="16136" max="16136" width="14" style="407" customWidth="1"/>
    <col min="16137" max="16137" width="14.44140625" style="407" customWidth="1"/>
    <col min="16138" max="16138" width="13.77734375" style="407" bestFit="1" customWidth="1"/>
    <col min="16139" max="16384" width="8.88671875" style="407"/>
  </cols>
  <sheetData>
    <row r="1" spans="1:16" ht="21.95" customHeight="1">
      <c r="A1" s="405" t="s">
        <v>1122</v>
      </c>
      <c r="B1" s="405"/>
      <c r="C1" s="425" t="s">
        <v>563</v>
      </c>
      <c r="F1" s="406">
        <v>2799660000</v>
      </c>
      <c r="G1" s="406">
        <v>400000000</v>
      </c>
      <c r="H1" s="406">
        <f>118400227-24018623</f>
        <v>94381604</v>
      </c>
      <c r="I1" s="406">
        <v>3000000</v>
      </c>
      <c r="K1" s="406">
        <v>24018623</v>
      </c>
      <c r="L1" s="440"/>
      <c r="M1" s="408" t="s">
        <v>564</v>
      </c>
    </row>
    <row r="2" spans="1:16" ht="21.95" customHeight="1">
      <c r="A2" s="409"/>
      <c r="B2" s="565"/>
      <c r="C2" s="418" t="s">
        <v>757</v>
      </c>
      <c r="D2" s="426" t="s">
        <v>530</v>
      </c>
      <c r="E2" s="426" t="s">
        <v>759</v>
      </c>
      <c r="F2" s="426" t="s">
        <v>824</v>
      </c>
      <c r="G2" s="426" t="s">
        <v>752</v>
      </c>
      <c r="H2" s="426" t="s">
        <v>758</v>
      </c>
      <c r="I2" s="426" t="s">
        <v>548</v>
      </c>
      <c r="J2" s="426" t="s">
        <v>567</v>
      </c>
      <c r="K2" s="426" t="s">
        <v>760</v>
      </c>
      <c r="L2" s="418" t="s">
        <v>527</v>
      </c>
      <c r="M2" s="438" t="s">
        <v>253</v>
      </c>
    </row>
    <row r="3" spans="1:16" ht="21.95" customHeight="1">
      <c r="A3" s="1046" t="s">
        <v>13</v>
      </c>
      <c r="B3" s="567" t="s">
        <v>14</v>
      </c>
      <c r="C3" s="427">
        <v>1252469830</v>
      </c>
      <c r="D3" s="416">
        <v>5589000</v>
      </c>
      <c r="E3" s="416"/>
      <c r="F3" s="416"/>
      <c r="G3" s="416"/>
      <c r="H3" s="416"/>
      <c r="I3" s="410"/>
      <c r="J3" s="410"/>
      <c r="K3" s="410"/>
      <c r="L3" s="428"/>
      <c r="M3" s="572">
        <f t="shared" ref="M3:M9" si="0">SUM(C3:L3)</f>
        <v>1258058830</v>
      </c>
      <c r="N3" s="440"/>
      <c r="O3" s="440"/>
      <c r="P3" s="440"/>
    </row>
    <row r="4" spans="1:16" ht="21.95" customHeight="1">
      <c r="A4" s="1047"/>
      <c r="B4" s="567" t="s">
        <v>26</v>
      </c>
      <c r="C4" s="427">
        <v>195817520</v>
      </c>
      <c r="D4" s="416">
        <v>129015990</v>
      </c>
      <c r="E4" s="423"/>
      <c r="F4" s="423"/>
      <c r="G4" s="416"/>
      <c r="H4" s="416"/>
      <c r="I4" s="410"/>
      <c r="J4" s="410"/>
      <c r="K4" s="410"/>
      <c r="L4" s="428"/>
      <c r="M4" s="572">
        <f t="shared" si="0"/>
        <v>324833510</v>
      </c>
      <c r="N4" s="440"/>
      <c r="O4" s="440"/>
      <c r="P4" s="440"/>
    </row>
    <row r="5" spans="1:16" ht="21.95" customHeight="1">
      <c r="A5" s="1047"/>
      <c r="B5" s="567" t="s">
        <v>40</v>
      </c>
      <c r="C5" s="427">
        <v>120690610</v>
      </c>
      <c r="D5" s="416">
        <v>15438140</v>
      </c>
      <c r="E5" s="423"/>
      <c r="F5" s="423"/>
      <c r="G5" s="416"/>
      <c r="H5" s="416"/>
      <c r="I5" s="410"/>
      <c r="J5" s="410"/>
      <c r="K5" s="410"/>
      <c r="L5" s="428"/>
      <c r="M5" s="572">
        <f t="shared" si="0"/>
        <v>136128750</v>
      </c>
      <c r="N5" s="440"/>
      <c r="O5" s="440"/>
      <c r="P5" s="440"/>
    </row>
    <row r="6" spans="1:16" ht="21.95" customHeight="1">
      <c r="A6" s="1047"/>
      <c r="B6" s="567" t="s">
        <v>569</v>
      </c>
      <c r="C6" s="427">
        <v>126544040</v>
      </c>
      <c r="D6" s="416">
        <v>31772850</v>
      </c>
      <c r="E6" s="423"/>
      <c r="F6" s="423"/>
      <c r="G6" s="416"/>
      <c r="H6" s="416"/>
      <c r="I6" s="410"/>
      <c r="J6" s="424"/>
      <c r="K6" s="410"/>
      <c r="L6" s="428"/>
      <c r="M6" s="572">
        <f t="shared" si="0"/>
        <v>158316890</v>
      </c>
      <c r="N6" s="440"/>
      <c r="O6" s="440"/>
      <c r="P6" s="440"/>
    </row>
    <row r="7" spans="1:16" ht="21.75" customHeight="1">
      <c r="A7" s="1048"/>
      <c r="B7" s="567" t="s">
        <v>570</v>
      </c>
      <c r="C7" s="427">
        <v>8920000</v>
      </c>
      <c r="D7" s="416">
        <f>12428000-2120000</f>
        <v>10308000</v>
      </c>
      <c r="E7" s="423"/>
      <c r="F7" s="423"/>
      <c r="G7" s="416"/>
      <c r="H7" s="416"/>
      <c r="I7" s="410">
        <v>1900000</v>
      </c>
      <c r="J7" s="424"/>
      <c r="K7" s="410"/>
      <c r="L7" s="411"/>
      <c r="M7" s="572">
        <f t="shared" si="0"/>
        <v>21128000</v>
      </c>
      <c r="N7" s="440"/>
      <c r="O7" s="440"/>
      <c r="P7" s="440"/>
    </row>
    <row r="8" spans="1:16" ht="21.95" customHeight="1">
      <c r="A8" s="1049" t="s">
        <v>571</v>
      </c>
      <c r="B8" s="1050"/>
      <c r="C8" s="429"/>
      <c r="D8" s="410">
        <v>5720000</v>
      </c>
      <c r="E8" s="423"/>
      <c r="F8" s="423"/>
      <c r="G8" s="416"/>
      <c r="H8" s="416"/>
      <c r="I8" s="410"/>
      <c r="J8" s="424"/>
      <c r="K8" s="410"/>
      <c r="L8" s="428"/>
      <c r="M8" s="572">
        <f t="shared" si="0"/>
        <v>5720000</v>
      </c>
      <c r="N8" s="440"/>
      <c r="O8" s="440"/>
      <c r="P8" s="440"/>
    </row>
    <row r="9" spans="1:16" ht="21.95" customHeight="1">
      <c r="A9" s="1051" t="s">
        <v>572</v>
      </c>
      <c r="B9" s="1052"/>
      <c r="C9" s="427">
        <v>100870750</v>
      </c>
      <c r="D9" s="423">
        <f>76681210-15671420-1100000+250000-12000000-2000000+2100680-30+620000-2000000</f>
        <v>46880440</v>
      </c>
      <c r="E9" s="423"/>
      <c r="F9" s="423"/>
      <c r="G9" s="416"/>
      <c r="H9" s="410">
        <f>15671420-2100680+30</f>
        <v>13570770</v>
      </c>
      <c r="I9" s="424">
        <f>1100000-250000</f>
        <v>850000</v>
      </c>
      <c r="J9" s="424"/>
      <c r="K9" s="410"/>
      <c r="L9" s="411"/>
      <c r="M9" s="572">
        <f t="shared" si="0"/>
        <v>162171960</v>
      </c>
      <c r="N9" s="440"/>
      <c r="O9" s="440"/>
      <c r="P9" s="440"/>
    </row>
    <row r="10" spans="1:16" ht="21.95" hidden="1" customHeight="1">
      <c r="A10" s="579"/>
      <c r="B10" s="580" t="s">
        <v>766</v>
      </c>
      <c r="C10" s="429"/>
      <c r="D10" s="416"/>
      <c r="E10" s="423"/>
      <c r="F10" s="423"/>
      <c r="G10" s="416"/>
      <c r="H10" s="410"/>
      <c r="I10" s="410"/>
      <c r="J10" s="424"/>
      <c r="K10" s="410"/>
      <c r="L10" s="411"/>
      <c r="M10" s="572"/>
      <c r="N10" s="440"/>
      <c r="O10" s="440"/>
      <c r="P10" s="440"/>
    </row>
    <row r="11" spans="1:16" ht="21.95" hidden="1" customHeight="1">
      <c r="A11" s="579"/>
      <c r="B11" s="580" t="s">
        <v>767</v>
      </c>
      <c r="C11" s="429"/>
      <c r="D11" s="416"/>
      <c r="E11" s="423"/>
      <c r="F11" s="423"/>
      <c r="G11" s="416"/>
      <c r="H11" s="410"/>
      <c r="I11" s="410"/>
      <c r="J11" s="424"/>
      <c r="K11" s="410"/>
      <c r="L11" s="411"/>
      <c r="M11" s="572"/>
      <c r="N11" s="440"/>
      <c r="O11" s="440"/>
      <c r="P11" s="440"/>
    </row>
    <row r="12" spans="1:16" ht="21.95" hidden="1" customHeight="1">
      <c r="A12" s="579"/>
      <c r="B12" s="580" t="s">
        <v>806</v>
      </c>
      <c r="C12" s="429"/>
      <c r="D12" s="416"/>
      <c r="E12" s="423"/>
      <c r="F12" s="423"/>
      <c r="G12" s="416"/>
      <c r="H12" s="410"/>
      <c r="I12" s="410"/>
      <c r="J12" s="424"/>
      <c r="K12" s="410"/>
      <c r="L12" s="411"/>
      <c r="M12" s="572"/>
      <c r="N12" s="440"/>
      <c r="O12" s="440"/>
      <c r="P12" s="440"/>
    </row>
    <row r="13" spans="1:16" ht="21.95" hidden="1" customHeight="1">
      <c r="A13" s="579"/>
      <c r="B13" s="580" t="s">
        <v>768</v>
      </c>
      <c r="C13" s="429"/>
      <c r="D13" s="416"/>
      <c r="E13" s="423"/>
      <c r="F13" s="423"/>
      <c r="G13" s="416"/>
      <c r="H13" s="410"/>
      <c r="I13" s="410"/>
      <c r="J13" s="424"/>
      <c r="K13" s="410"/>
      <c r="L13" s="411"/>
      <c r="M13" s="572"/>
      <c r="N13" s="440"/>
      <c r="O13" s="440"/>
      <c r="P13" s="440"/>
    </row>
    <row r="14" spans="1:16" ht="21.95" hidden="1" customHeight="1">
      <c r="A14" s="579"/>
      <c r="B14" s="580" t="s">
        <v>769</v>
      </c>
      <c r="C14" s="429"/>
      <c r="D14" s="416"/>
      <c r="E14" s="423"/>
      <c r="F14" s="423"/>
      <c r="G14" s="416"/>
      <c r="H14" s="410"/>
      <c r="I14" s="410"/>
      <c r="J14" s="424"/>
      <c r="K14" s="410"/>
      <c r="L14" s="411"/>
      <c r="M14" s="572"/>
      <c r="N14" s="440"/>
      <c r="O14" s="440"/>
      <c r="P14" s="440"/>
    </row>
    <row r="15" spans="1:16" ht="21.95" hidden="1" customHeight="1">
      <c r="A15" s="579"/>
      <c r="B15" s="580" t="s">
        <v>770</v>
      </c>
      <c r="C15" s="429"/>
      <c r="D15" s="416"/>
      <c r="E15" s="423"/>
      <c r="F15" s="423"/>
      <c r="G15" s="416"/>
      <c r="H15" s="410"/>
      <c r="I15" s="410"/>
      <c r="J15" s="424"/>
      <c r="K15" s="410"/>
      <c r="L15" s="411"/>
      <c r="M15" s="572"/>
      <c r="N15" s="440"/>
      <c r="O15" s="440"/>
      <c r="P15" s="440"/>
    </row>
    <row r="16" spans="1:16" ht="21.95" hidden="1" customHeight="1">
      <c r="A16" s="579"/>
      <c r="B16" s="580" t="s">
        <v>771</v>
      </c>
      <c r="C16" s="429"/>
      <c r="D16" s="416"/>
      <c r="E16" s="423"/>
      <c r="F16" s="423"/>
      <c r="G16" s="416"/>
      <c r="H16" s="410"/>
      <c r="I16" s="410"/>
      <c r="J16" s="424"/>
      <c r="K16" s="410"/>
      <c r="L16" s="411"/>
      <c r="M16" s="572"/>
      <c r="N16" s="440"/>
      <c r="O16" s="440"/>
      <c r="P16" s="440"/>
    </row>
    <row r="17" spans="1:16" ht="21.95" hidden="1" customHeight="1">
      <c r="A17" s="579"/>
      <c r="B17" s="580" t="s">
        <v>772</v>
      </c>
      <c r="C17" s="429"/>
      <c r="D17" s="416"/>
      <c r="E17" s="423"/>
      <c r="F17" s="423"/>
      <c r="G17" s="416"/>
      <c r="H17" s="410"/>
      <c r="I17" s="410"/>
      <c r="J17" s="424"/>
      <c r="K17" s="410"/>
      <c r="L17" s="411"/>
      <c r="M17" s="572"/>
      <c r="N17" s="440"/>
      <c r="O17" s="440"/>
      <c r="P17" s="440"/>
    </row>
    <row r="18" spans="1:16" ht="21.95" hidden="1" customHeight="1">
      <c r="A18" s="579"/>
      <c r="B18" s="580" t="s">
        <v>773</v>
      </c>
      <c r="C18" s="429"/>
      <c r="D18" s="416"/>
      <c r="E18" s="423"/>
      <c r="F18" s="423"/>
      <c r="G18" s="416"/>
      <c r="H18" s="410"/>
      <c r="I18" s="410"/>
      <c r="J18" s="424"/>
      <c r="K18" s="410"/>
      <c r="L18" s="411"/>
      <c r="M18" s="572"/>
      <c r="N18" s="440"/>
      <c r="O18" s="440"/>
      <c r="P18" s="440"/>
    </row>
    <row r="19" spans="1:16" ht="21.95" hidden="1" customHeight="1">
      <c r="A19" s="579"/>
      <c r="B19" s="580" t="s">
        <v>807</v>
      </c>
      <c r="C19" s="429"/>
      <c r="D19" s="416"/>
      <c r="E19" s="423"/>
      <c r="F19" s="423"/>
      <c r="G19" s="416"/>
      <c r="H19" s="410"/>
      <c r="I19" s="410"/>
      <c r="J19" s="424"/>
      <c r="K19" s="410"/>
      <c r="L19" s="411"/>
      <c r="M19" s="572"/>
      <c r="N19" s="440"/>
      <c r="O19" s="440"/>
      <c r="P19" s="440"/>
    </row>
    <row r="20" spans="1:16" ht="21.95" hidden="1" customHeight="1">
      <c r="A20" s="579"/>
      <c r="B20" s="580" t="s">
        <v>808</v>
      </c>
      <c r="C20" s="429"/>
      <c r="D20" s="416"/>
      <c r="E20" s="423"/>
      <c r="F20" s="423"/>
      <c r="G20" s="416"/>
      <c r="H20" s="410"/>
      <c r="I20" s="410"/>
      <c r="J20" s="424"/>
      <c r="K20" s="410"/>
      <c r="L20" s="411"/>
      <c r="M20" s="572"/>
      <c r="N20" s="440"/>
      <c r="O20" s="440"/>
      <c r="P20" s="440"/>
    </row>
    <row r="21" spans="1:16" ht="21.95" hidden="1" customHeight="1">
      <c r="A21" s="579"/>
      <c r="B21" s="580" t="s">
        <v>809</v>
      </c>
      <c r="C21" s="429"/>
      <c r="D21" s="416"/>
      <c r="E21" s="423"/>
      <c r="F21" s="423"/>
      <c r="G21" s="416"/>
      <c r="H21" s="410"/>
      <c r="I21" s="410"/>
      <c r="J21" s="424"/>
      <c r="K21" s="410"/>
      <c r="L21" s="411"/>
      <c r="M21" s="572"/>
      <c r="N21" s="440"/>
      <c r="O21" s="440"/>
      <c r="P21" s="440"/>
    </row>
    <row r="22" spans="1:16" ht="21.95" hidden="1" customHeight="1">
      <c r="A22" s="579"/>
      <c r="B22" s="580" t="s">
        <v>774</v>
      </c>
      <c r="C22" s="429"/>
      <c r="D22" s="416"/>
      <c r="E22" s="423"/>
      <c r="F22" s="423"/>
      <c r="G22" s="416"/>
      <c r="H22" s="410"/>
      <c r="I22" s="410"/>
      <c r="J22" s="424"/>
      <c r="K22" s="410"/>
      <c r="L22" s="411"/>
      <c r="M22" s="572"/>
      <c r="N22" s="440"/>
      <c r="O22" s="440"/>
      <c r="P22" s="440"/>
    </row>
    <row r="23" spans="1:16" ht="21.95" hidden="1" customHeight="1">
      <c r="A23" s="579"/>
      <c r="B23" s="580" t="s">
        <v>810</v>
      </c>
      <c r="C23" s="429"/>
      <c r="D23" s="416"/>
      <c r="E23" s="423"/>
      <c r="F23" s="423"/>
      <c r="G23" s="416"/>
      <c r="H23" s="410"/>
      <c r="I23" s="410"/>
      <c r="J23" s="424"/>
      <c r="K23" s="410"/>
      <c r="L23" s="411"/>
      <c r="M23" s="572"/>
      <c r="N23" s="440"/>
      <c r="O23" s="440"/>
      <c r="P23" s="440"/>
    </row>
    <row r="24" spans="1:16" ht="21.95" hidden="1" customHeight="1">
      <c r="A24" s="579"/>
      <c r="B24" s="580" t="s">
        <v>811</v>
      </c>
      <c r="C24" s="429"/>
      <c r="D24" s="416"/>
      <c r="E24" s="423"/>
      <c r="F24" s="423"/>
      <c r="G24" s="416"/>
      <c r="H24" s="410"/>
      <c r="I24" s="410"/>
      <c r="J24" s="424"/>
      <c r="K24" s="410"/>
      <c r="L24" s="411"/>
      <c r="M24" s="572"/>
      <c r="N24" s="440"/>
      <c r="O24" s="440"/>
      <c r="P24" s="440"/>
    </row>
    <row r="25" spans="1:16" ht="21.95" hidden="1" customHeight="1">
      <c r="A25" s="579"/>
      <c r="B25" s="580" t="s">
        <v>812</v>
      </c>
      <c r="C25" s="429"/>
      <c r="D25" s="416"/>
      <c r="E25" s="423"/>
      <c r="F25" s="423"/>
      <c r="G25" s="416"/>
      <c r="H25" s="410"/>
      <c r="I25" s="410"/>
      <c r="J25" s="424"/>
      <c r="K25" s="410"/>
      <c r="L25" s="411"/>
      <c r="M25" s="572"/>
      <c r="N25" s="440"/>
      <c r="O25" s="440"/>
      <c r="P25" s="440"/>
    </row>
    <row r="26" spans="1:16" ht="21.95" hidden="1" customHeight="1">
      <c r="A26" s="579"/>
      <c r="B26" s="580" t="s">
        <v>813</v>
      </c>
      <c r="C26" s="429"/>
      <c r="D26" s="416"/>
      <c r="E26" s="423"/>
      <c r="F26" s="423"/>
      <c r="G26" s="416"/>
      <c r="H26" s="410"/>
      <c r="I26" s="410"/>
      <c r="J26" s="424"/>
      <c r="K26" s="410"/>
      <c r="L26" s="411"/>
      <c r="M26" s="572"/>
      <c r="N26" s="440"/>
      <c r="O26" s="440"/>
      <c r="P26" s="440"/>
    </row>
    <row r="27" spans="1:16" ht="21.95" hidden="1" customHeight="1">
      <c r="A27" s="579"/>
      <c r="B27" s="580" t="s">
        <v>814</v>
      </c>
      <c r="C27" s="429"/>
      <c r="D27" s="416"/>
      <c r="E27" s="423"/>
      <c r="F27" s="423"/>
      <c r="G27" s="416"/>
      <c r="H27" s="410"/>
      <c r="I27" s="410"/>
      <c r="J27" s="424"/>
      <c r="K27" s="410"/>
      <c r="L27" s="411"/>
      <c r="M27" s="572"/>
      <c r="N27" s="440"/>
      <c r="O27" s="440"/>
      <c r="P27" s="440"/>
    </row>
    <row r="28" spans="1:16" ht="21.95" hidden="1" customHeight="1">
      <c r="A28" s="579"/>
      <c r="B28" s="580" t="s">
        <v>815</v>
      </c>
      <c r="C28" s="429"/>
      <c r="D28" s="416"/>
      <c r="E28" s="423"/>
      <c r="F28" s="423"/>
      <c r="G28" s="416"/>
      <c r="H28" s="410"/>
      <c r="I28" s="410"/>
      <c r="J28" s="424"/>
      <c r="K28" s="410"/>
      <c r="L28" s="411"/>
      <c r="M28" s="572"/>
      <c r="N28" s="440"/>
      <c r="O28" s="440"/>
      <c r="P28" s="440"/>
    </row>
    <row r="29" spans="1:16" ht="21.95" hidden="1" customHeight="1">
      <c r="A29" s="579"/>
      <c r="B29" s="580" t="s">
        <v>816</v>
      </c>
      <c r="C29" s="429"/>
      <c r="D29" s="416"/>
      <c r="E29" s="423"/>
      <c r="F29" s="423"/>
      <c r="G29" s="416"/>
      <c r="H29" s="410"/>
      <c r="I29" s="410"/>
      <c r="J29" s="424"/>
      <c r="K29" s="410"/>
      <c r="L29" s="411"/>
      <c r="M29" s="572"/>
      <c r="N29" s="440"/>
      <c r="O29" s="440"/>
      <c r="P29" s="440"/>
    </row>
    <row r="30" spans="1:16" ht="21.95" hidden="1" customHeight="1">
      <c r="A30" s="579"/>
      <c r="B30" s="580" t="s">
        <v>817</v>
      </c>
      <c r="C30" s="429"/>
      <c r="D30" s="416"/>
      <c r="E30" s="423"/>
      <c r="F30" s="423"/>
      <c r="G30" s="416"/>
      <c r="H30" s="410"/>
      <c r="I30" s="410"/>
      <c r="J30" s="424"/>
      <c r="K30" s="410"/>
      <c r="L30" s="411"/>
      <c r="M30" s="572"/>
      <c r="N30" s="440"/>
      <c r="O30" s="440"/>
      <c r="P30" s="440"/>
    </row>
    <row r="31" spans="1:16" ht="21.95" hidden="1" customHeight="1">
      <c r="A31" s="579"/>
      <c r="B31" s="580" t="s">
        <v>775</v>
      </c>
      <c r="C31" s="429"/>
      <c r="D31" s="416"/>
      <c r="E31" s="423"/>
      <c r="F31" s="423"/>
      <c r="G31" s="416"/>
      <c r="H31" s="410"/>
      <c r="I31" s="410"/>
      <c r="J31" s="424"/>
      <c r="K31" s="410"/>
      <c r="L31" s="411"/>
      <c r="M31" s="572"/>
      <c r="N31" s="440"/>
      <c r="O31" s="440"/>
      <c r="P31" s="440"/>
    </row>
    <row r="32" spans="1:16" ht="21.95" hidden="1" customHeight="1">
      <c r="A32" s="579"/>
      <c r="B32" s="580" t="s">
        <v>776</v>
      </c>
      <c r="C32" s="429"/>
      <c r="D32" s="416"/>
      <c r="E32" s="423"/>
      <c r="F32" s="423"/>
      <c r="G32" s="416"/>
      <c r="H32" s="410"/>
      <c r="I32" s="410"/>
      <c r="J32" s="424"/>
      <c r="K32" s="410"/>
      <c r="L32" s="411"/>
      <c r="M32" s="572"/>
      <c r="N32" s="440"/>
      <c r="O32" s="440"/>
      <c r="P32" s="440"/>
    </row>
    <row r="33" spans="1:16" ht="21.95" hidden="1" customHeight="1">
      <c r="A33" s="579"/>
      <c r="B33" s="580" t="s">
        <v>777</v>
      </c>
      <c r="C33" s="429"/>
      <c r="D33" s="416"/>
      <c r="E33" s="423"/>
      <c r="F33" s="423"/>
      <c r="G33" s="416"/>
      <c r="H33" s="410"/>
      <c r="I33" s="410"/>
      <c r="J33" s="424"/>
      <c r="K33" s="410"/>
      <c r="L33" s="411"/>
      <c r="M33" s="572"/>
      <c r="N33" s="440"/>
      <c r="O33" s="440"/>
      <c r="P33" s="440"/>
    </row>
    <row r="34" spans="1:16" ht="21.95" hidden="1" customHeight="1">
      <c r="A34" s="579"/>
      <c r="B34" s="580" t="s">
        <v>778</v>
      </c>
      <c r="C34" s="429"/>
      <c r="D34" s="416"/>
      <c r="E34" s="423"/>
      <c r="F34" s="423"/>
      <c r="G34" s="416"/>
      <c r="H34" s="410"/>
      <c r="I34" s="410"/>
      <c r="J34" s="424"/>
      <c r="K34" s="410"/>
      <c r="L34" s="411"/>
      <c r="M34" s="572"/>
      <c r="N34" s="440"/>
      <c r="O34" s="440"/>
      <c r="P34" s="440"/>
    </row>
    <row r="35" spans="1:16" ht="21.95" hidden="1" customHeight="1">
      <c r="A35" s="579"/>
      <c r="B35" s="580" t="s">
        <v>779</v>
      </c>
      <c r="C35" s="429"/>
      <c r="D35" s="416"/>
      <c r="E35" s="423"/>
      <c r="F35" s="423"/>
      <c r="G35" s="416"/>
      <c r="H35" s="410"/>
      <c r="I35" s="410"/>
      <c r="J35" s="424"/>
      <c r="K35" s="410"/>
      <c r="L35" s="411"/>
      <c r="M35" s="572"/>
      <c r="N35" s="440"/>
      <c r="O35" s="440"/>
      <c r="P35" s="440"/>
    </row>
    <row r="36" spans="1:16" ht="21.95" hidden="1" customHeight="1">
      <c r="A36" s="579"/>
      <c r="B36" s="580" t="s">
        <v>818</v>
      </c>
      <c r="C36" s="429"/>
      <c r="D36" s="416"/>
      <c r="E36" s="423"/>
      <c r="F36" s="423"/>
      <c r="G36" s="416"/>
      <c r="H36" s="410"/>
      <c r="I36" s="410"/>
      <c r="J36" s="424"/>
      <c r="K36" s="410"/>
      <c r="L36" s="411"/>
      <c r="M36" s="572"/>
      <c r="N36" s="440"/>
      <c r="O36" s="440"/>
      <c r="P36" s="440"/>
    </row>
    <row r="37" spans="1:16" ht="21.95" hidden="1" customHeight="1">
      <c r="A37" s="579"/>
      <c r="B37" s="580" t="s">
        <v>780</v>
      </c>
      <c r="C37" s="429"/>
      <c r="D37" s="416"/>
      <c r="E37" s="423"/>
      <c r="F37" s="423"/>
      <c r="G37" s="416"/>
      <c r="H37" s="410"/>
      <c r="I37" s="410"/>
      <c r="J37" s="424"/>
      <c r="K37" s="410"/>
      <c r="L37" s="411"/>
      <c r="M37" s="572"/>
      <c r="N37" s="440"/>
      <c r="O37" s="440"/>
      <c r="P37" s="440"/>
    </row>
    <row r="38" spans="1:16" ht="21.95" hidden="1" customHeight="1">
      <c r="A38" s="579"/>
      <c r="B38" s="580" t="s">
        <v>819</v>
      </c>
      <c r="C38" s="429"/>
      <c r="D38" s="416"/>
      <c r="E38" s="423"/>
      <c r="F38" s="423"/>
      <c r="G38" s="416"/>
      <c r="H38" s="410"/>
      <c r="I38" s="410"/>
      <c r="J38" s="424"/>
      <c r="K38" s="410"/>
      <c r="L38" s="411"/>
      <c r="M38" s="572"/>
      <c r="N38" s="440"/>
      <c r="O38" s="440"/>
      <c r="P38" s="440"/>
    </row>
    <row r="39" spans="1:16" ht="21.95" hidden="1" customHeight="1">
      <c r="A39" s="579"/>
      <c r="B39" s="580" t="s">
        <v>781</v>
      </c>
      <c r="C39" s="429"/>
      <c r="D39" s="416"/>
      <c r="E39" s="423"/>
      <c r="F39" s="423"/>
      <c r="G39" s="416"/>
      <c r="H39" s="410"/>
      <c r="I39" s="410"/>
      <c r="J39" s="424"/>
      <c r="K39" s="410"/>
      <c r="L39" s="411"/>
      <c r="M39" s="572"/>
      <c r="N39" s="440"/>
      <c r="O39" s="440"/>
      <c r="P39" s="440"/>
    </row>
    <row r="40" spans="1:16" ht="21.95" hidden="1" customHeight="1">
      <c r="A40" s="579"/>
      <c r="B40" s="580" t="s">
        <v>782</v>
      </c>
      <c r="C40" s="429"/>
      <c r="D40" s="416"/>
      <c r="E40" s="423"/>
      <c r="F40" s="423"/>
      <c r="G40" s="416"/>
      <c r="H40" s="410"/>
      <c r="I40" s="410"/>
      <c r="J40" s="424"/>
      <c r="K40" s="410"/>
      <c r="L40" s="411"/>
      <c r="M40" s="572"/>
      <c r="N40" s="440"/>
      <c r="O40" s="440"/>
      <c r="P40" s="440"/>
    </row>
    <row r="41" spans="1:16" ht="21.95" hidden="1" customHeight="1">
      <c r="A41" s="579"/>
      <c r="B41" s="580" t="s">
        <v>783</v>
      </c>
      <c r="C41" s="429"/>
      <c r="D41" s="416"/>
      <c r="E41" s="423"/>
      <c r="F41" s="423"/>
      <c r="G41" s="416"/>
      <c r="H41" s="410"/>
      <c r="I41" s="410"/>
      <c r="J41" s="424"/>
      <c r="K41" s="410"/>
      <c r="L41" s="411"/>
      <c r="M41" s="572"/>
      <c r="N41" s="440"/>
      <c r="O41" s="440"/>
      <c r="P41" s="440"/>
    </row>
    <row r="42" spans="1:16" ht="21.95" hidden="1" customHeight="1">
      <c r="A42" s="579"/>
      <c r="B42" s="580" t="s">
        <v>784</v>
      </c>
      <c r="C42" s="429"/>
      <c r="D42" s="416"/>
      <c r="E42" s="423"/>
      <c r="F42" s="423"/>
      <c r="G42" s="416"/>
      <c r="H42" s="410"/>
      <c r="I42" s="410"/>
      <c r="J42" s="424"/>
      <c r="K42" s="410"/>
      <c r="L42" s="411"/>
      <c r="M42" s="572"/>
      <c r="N42" s="440"/>
      <c r="O42" s="440"/>
      <c r="P42" s="440"/>
    </row>
    <row r="43" spans="1:16" ht="21.95" hidden="1" customHeight="1">
      <c r="A43" s="579"/>
      <c r="B43" s="580" t="s">
        <v>785</v>
      </c>
      <c r="C43" s="429"/>
      <c r="D43" s="416"/>
      <c r="E43" s="423"/>
      <c r="F43" s="423"/>
      <c r="G43" s="416"/>
      <c r="H43" s="410"/>
      <c r="I43" s="410"/>
      <c r="J43" s="424"/>
      <c r="K43" s="410"/>
      <c r="L43" s="411"/>
      <c r="M43" s="572"/>
      <c r="N43" s="440"/>
      <c r="O43" s="440"/>
      <c r="P43" s="440"/>
    </row>
    <row r="44" spans="1:16" ht="21.95" hidden="1" customHeight="1">
      <c r="A44" s="579"/>
      <c r="B44" s="580" t="s">
        <v>786</v>
      </c>
      <c r="C44" s="429"/>
      <c r="D44" s="416"/>
      <c r="E44" s="423"/>
      <c r="F44" s="423"/>
      <c r="G44" s="416"/>
      <c r="H44" s="410"/>
      <c r="I44" s="410"/>
      <c r="J44" s="424"/>
      <c r="K44" s="410"/>
      <c r="L44" s="411"/>
      <c r="M44" s="572"/>
      <c r="N44" s="440"/>
      <c r="O44" s="440"/>
      <c r="P44" s="440"/>
    </row>
    <row r="45" spans="1:16" ht="21.95" hidden="1" customHeight="1">
      <c r="A45" s="579"/>
      <c r="B45" s="580" t="s">
        <v>820</v>
      </c>
      <c r="C45" s="429"/>
      <c r="D45" s="416"/>
      <c r="E45" s="423"/>
      <c r="F45" s="423"/>
      <c r="G45" s="416"/>
      <c r="H45" s="410"/>
      <c r="I45" s="410"/>
      <c r="J45" s="424"/>
      <c r="K45" s="410"/>
      <c r="L45" s="411"/>
      <c r="M45" s="572"/>
      <c r="N45" s="440"/>
      <c r="O45" s="440"/>
      <c r="P45" s="440"/>
    </row>
    <row r="46" spans="1:16" ht="21.95" hidden="1" customHeight="1">
      <c r="A46" s="579"/>
      <c r="B46" s="580" t="s">
        <v>787</v>
      </c>
      <c r="C46" s="429"/>
      <c r="D46" s="416"/>
      <c r="E46" s="423"/>
      <c r="F46" s="423"/>
      <c r="G46" s="416"/>
      <c r="H46" s="410"/>
      <c r="I46" s="410"/>
      <c r="J46" s="424"/>
      <c r="K46" s="410"/>
      <c r="L46" s="411"/>
      <c r="M46" s="572"/>
      <c r="N46" s="440"/>
      <c r="O46" s="440"/>
      <c r="P46" s="440"/>
    </row>
    <row r="47" spans="1:16" ht="21.95" hidden="1" customHeight="1">
      <c r="A47" s="579"/>
      <c r="B47" s="580" t="s">
        <v>821</v>
      </c>
      <c r="C47" s="429"/>
      <c r="D47" s="416"/>
      <c r="E47" s="423"/>
      <c r="F47" s="423"/>
      <c r="G47" s="416"/>
      <c r="H47" s="410"/>
      <c r="I47" s="410"/>
      <c r="J47" s="424"/>
      <c r="K47" s="410"/>
      <c r="L47" s="411"/>
      <c r="M47" s="572"/>
      <c r="N47" s="440"/>
      <c r="O47" s="440"/>
      <c r="P47" s="440"/>
    </row>
    <row r="48" spans="1:16" ht="21.95" hidden="1" customHeight="1">
      <c r="A48" s="579"/>
      <c r="B48" s="580" t="s">
        <v>788</v>
      </c>
      <c r="C48" s="429"/>
      <c r="D48" s="416"/>
      <c r="E48" s="423"/>
      <c r="F48" s="423"/>
      <c r="G48" s="416"/>
      <c r="H48" s="410"/>
      <c r="I48" s="410"/>
      <c r="J48" s="424"/>
      <c r="K48" s="410"/>
      <c r="L48" s="411"/>
      <c r="M48" s="572"/>
      <c r="N48" s="440"/>
      <c r="O48" s="440"/>
      <c r="P48" s="440"/>
    </row>
    <row r="49" spans="1:16" ht="21.95" hidden="1" customHeight="1">
      <c r="A49" s="579"/>
      <c r="B49" s="580" t="s">
        <v>789</v>
      </c>
      <c r="C49" s="429"/>
      <c r="D49" s="416"/>
      <c r="E49" s="423"/>
      <c r="F49" s="423"/>
      <c r="G49" s="416"/>
      <c r="H49" s="410"/>
      <c r="I49" s="410"/>
      <c r="J49" s="424"/>
      <c r="K49" s="410"/>
      <c r="L49" s="411"/>
      <c r="M49" s="572"/>
      <c r="N49" s="440"/>
      <c r="O49" s="440"/>
      <c r="P49" s="440"/>
    </row>
    <row r="50" spans="1:16" ht="21.95" hidden="1" customHeight="1">
      <c r="A50" s="579"/>
      <c r="B50" s="580" t="s">
        <v>790</v>
      </c>
      <c r="C50" s="429"/>
      <c r="D50" s="416"/>
      <c r="E50" s="423"/>
      <c r="F50" s="423"/>
      <c r="G50" s="416"/>
      <c r="H50" s="410"/>
      <c r="I50" s="410"/>
      <c r="J50" s="424"/>
      <c r="K50" s="410"/>
      <c r="L50" s="411"/>
      <c r="M50" s="572"/>
      <c r="N50" s="440"/>
      <c r="O50" s="440"/>
      <c r="P50" s="440"/>
    </row>
    <row r="51" spans="1:16" ht="21.95" hidden="1" customHeight="1">
      <c r="A51" s="579"/>
      <c r="B51" s="580" t="s">
        <v>791</v>
      </c>
      <c r="C51" s="429"/>
      <c r="D51" s="416"/>
      <c r="E51" s="423"/>
      <c r="F51" s="423"/>
      <c r="G51" s="416"/>
      <c r="H51" s="410"/>
      <c r="I51" s="410"/>
      <c r="J51" s="424"/>
      <c r="K51" s="410"/>
      <c r="L51" s="411"/>
      <c r="M51" s="572"/>
      <c r="N51" s="440"/>
      <c r="O51" s="440"/>
      <c r="P51" s="440"/>
    </row>
    <row r="52" spans="1:16" ht="21.95" hidden="1" customHeight="1">
      <c r="A52" s="579"/>
      <c r="B52" s="580" t="s">
        <v>792</v>
      </c>
      <c r="C52" s="429"/>
      <c r="D52" s="416"/>
      <c r="E52" s="423"/>
      <c r="F52" s="423"/>
      <c r="G52" s="416"/>
      <c r="H52" s="410"/>
      <c r="I52" s="410"/>
      <c r="J52" s="424"/>
      <c r="K52" s="410"/>
      <c r="L52" s="411"/>
      <c r="M52" s="572"/>
      <c r="N52" s="440"/>
      <c r="O52" s="440"/>
      <c r="P52" s="440"/>
    </row>
    <row r="53" spans="1:16" ht="21.95" hidden="1" customHeight="1">
      <c r="A53" s="579"/>
      <c r="B53" s="580" t="s">
        <v>793</v>
      </c>
      <c r="C53" s="429"/>
      <c r="D53" s="416"/>
      <c r="E53" s="423"/>
      <c r="F53" s="423"/>
      <c r="G53" s="416"/>
      <c r="H53" s="410"/>
      <c r="I53" s="410"/>
      <c r="J53" s="424"/>
      <c r="K53" s="410"/>
      <c r="L53" s="411"/>
      <c r="M53" s="572"/>
      <c r="N53" s="440"/>
      <c r="O53" s="440"/>
      <c r="P53" s="440"/>
    </row>
    <row r="54" spans="1:16" ht="21.95" hidden="1" customHeight="1">
      <c r="A54" s="579"/>
      <c r="B54" s="580" t="s">
        <v>794</v>
      </c>
      <c r="C54" s="429"/>
      <c r="D54" s="416"/>
      <c r="E54" s="423"/>
      <c r="F54" s="423"/>
      <c r="G54" s="416"/>
      <c r="H54" s="410"/>
      <c r="I54" s="410"/>
      <c r="J54" s="424"/>
      <c r="K54" s="410"/>
      <c r="L54" s="411"/>
      <c r="M54" s="572"/>
      <c r="N54" s="440"/>
      <c r="O54" s="440"/>
      <c r="P54" s="440"/>
    </row>
    <row r="55" spans="1:16" ht="21.95" hidden="1" customHeight="1">
      <c r="A55" s="579"/>
      <c r="B55" s="580" t="s">
        <v>795</v>
      </c>
      <c r="C55" s="429"/>
      <c r="D55" s="416"/>
      <c r="E55" s="423"/>
      <c r="F55" s="423"/>
      <c r="G55" s="416"/>
      <c r="H55" s="410"/>
      <c r="I55" s="410"/>
      <c r="J55" s="424"/>
      <c r="K55" s="410"/>
      <c r="L55" s="411"/>
      <c r="M55" s="572"/>
      <c r="N55" s="440"/>
      <c r="O55" s="440"/>
      <c r="P55" s="440"/>
    </row>
    <row r="56" spans="1:16" ht="21.95" hidden="1" customHeight="1">
      <c r="A56" s="579"/>
      <c r="B56" s="580" t="s">
        <v>796</v>
      </c>
      <c r="C56" s="429"/>
      <c r="D56" s="416"/>
      <c r="E56" s="423"/>
      <c r="F56" s="423"/>
      <c r="G56" s="416"/>
      <c r="H56" s="410"/>
      <c r="I56" s="410"/>
      <c r="J56" s="424"/>
      <c r="K56" s="410"/>
      <c r="L56" s="411"/>
      <c r="M56" s="572"/>
      <c r="N56" s="440"/>
      <c r="O56" s="440"/>
      <c r="P56" s="440"/>
    </row>
    <row r="57" spans="1:16" ht="21.95" hidden="1" customHeight="1">
      <c r="A57" s="579"/>
      <c r="B57" s="580" t="s">
        <v>797</v>
      </c>
      <c r="C57" s="429"/>
      <c r="D57" s="416"/>
      <c r="E57" s="423"/>
      <c r="F57" s="423"/>
      <c r="G57" s="416"/>
      <c r="H57" s="410"/>
      <c r="I57" s="410"/>
      <c r="J57" s="424"/>
      <c r="K57" s="410"/>
      <c r="L57" s="411"/>
      <c r="M57" s="572"/>
      <c r="N57" s="440"/>
      <c r="O57" s="440"/>
      <c r="P57" s="440"/>
    </row>
    <row r="58" spans="1:16" ht="21.95" customHeight="1">
      <c r="A58" s="1051" t="s">
        <v>573</v>
      </c>
      <c r="B58" s="1052"/>
      <c r="C58" s="427">
        <v>226617000</v>
      </c>
      <c r="D58" s="558">
        <v>8319600</v>
      </c>
      <c r="E58" s="423"/>
      <c r="F58" s="423"/>
      <c r="G58" s="416"/>
      <c r="H58" s="416"/>
      <c r="I58" s="410"/>
      <c r="J58" s="424"/>
      <c r="K58" s="410"/>
      <c r="L58" s="428"/>
      <c r="M58" s="572">
        <f>SUM(C58:L58)</f>
        <v>234936600</v>
      </c>
      <c r="N58" s="440"/>
      <c r="O58" s="440"/>
      <c r="P58" s="440"/>
    </row>
    <row r="59" spans="1:16" ht="21.95" hidden="1" customHeight="1">
      <c r="A59" s="581"/>
      <c r="B59" s="582" t="s">
        <v>798</v>
      </c>
      <c r="C59" s="427"/>
      <c r="D59" s="559"/>
      <c r="E59" s="423"/>
      <c r="F59" s="423"/>
      <c r="G59" s="416"/>
      <c r="H59" s="416"/>
      <c r="I59" s="410"/>
      <c r="J59" s="424"/>
      <c r="K59" s="410"/>
      <c r="L59" s="428"/>
      <c r="M59" s="572"/>
      <c r="N59" s="440"/>
      <c r="O59" s="440"/>
      <c r="P59" s="440"/>
    </row>
    <row r="60" spans="1:16" ht="21.95" hidden="1" customHeight="1">
      <c r="A60" s="581"/>
      <c r="B60" s="582" t="s">
        <v>822</v>
      </c>
      <c r="C60" s="429"/>
      <c r="D60" s="559"/>
      <c r="E60" s="423"/>
      <c r="F60" s="423"/>
      <c r="G60" s="416"/>
      <c r="H60" s="416"/>
      <c r="I60" s="410"/>
      <c r="J60" s="424"/>
      <c r="K60" s="410"/>
      <c r="L60" s="428"/>
      <c r="M60" s="572"/>
      <c r="N60" s="440"/>
      <c r="O60" s="440"/>
      <c r="P60" s="440"/>
    </row>
    <row r="61" spans="1:16" ht="21.95" hidden="1" customHeight="1">
      <c r="A61" s="581"/>
      <c r="B61" s="582" t="s">
        <v>799</v>
      </c>
      <c r="C61" s="429"/>
      <c r="D61" s="559"/>
      <c r="E61" s="423"/>
      <c r="F61" s="423"/>
      <c r="G61" s="416"/>
      <c r="H61" s="416"/>
      <c r="I61" s="410"/>
      <c r="J61" s="424"/>
      <c r="K61" s="410"/>
      <c r="L61" s="428"/>
      <c r="M61" s="572"/>
      <c r="N61" s="440"/>
      <c r="O61" s="440"/>
      <c r="P61" s="440"/>
    </row>
    <row r="62" spans="1:16" ht="21.95" hidden="1" customHeight="1">
      <c r="A62" s="581"/>
      <c r="B62" s="582" t="s">
        <v>800</v>
      </c>
      <c r="C62" s="429"/>
      <c r="D62" s="559"/>
      <c r="E62" s="423"/>
      <c r="F62" s="423"/>
      <c r="G62" s="416"/>
      <c r="H62" s="416"/>
      <c r="I62" s="410"/>
      <c r="J62" s="424"/>
      <c r="K62" s="410"/>
      <c r="L62" s="428"/>
      <c r="M62" s="572"/>
      <c r="N62" s="440"/>
      <c r="O62" s="440"/>
      <c r="P62" s="440"/>
    </row>
    <row r="63" spans="1:16" ht="21.95" hidden="1" customHeight="1">
      <c r="A63" s="581"/>
      <c r="B63" s="582" t="s">
        <v>801</v>
      </c>
      <c r="C63" s="429"/>
      <c r="D63" s="559"/>
      <c r="E63" s="423"/>
      <c r="F63" s="423"/>
      <c r="G63" s="416"/>
      <c r="H63" s="416"/>
      <c r="I63" s="410"/>
      <c r="J63" s="424"/>
      <c r="K63" s="410"/>
      <c r="L63" s="428"/>
      <c r="M63" s="572"/>
      <c r="N63" s="440"/>
      <c r="O63" s="440"/>
      <c r="P63" s="440"/>
    </row>
    <row r="64" spans="1:16" ht="21.95" hidden="1" customHeight="1">
      <c r="A64" s="581"/>
      <c r="B64" s="582" t="s">
        <v>802</v>
      </c>
      <c r="C64" s="429"/>
      <c r="D64" s="559"/>
      <c r="E64" s="423"/>
      <c r="F64" s="423"/>
      <c r="G64" s="416"/>
      <c r="H64" s="416"/>
      <c r="I64" s="410"/>
      <c r="J64" s="424"/>
      <c r="K64" s="410"/>
      <c r="L64" s="428"/>
      <c r="M64" s="572"/>
      <c r="N64" s="440"/>
      <c r="O64" s="440"/>
      <c r="P64" s="440"/>
    </row>
    <row r="65" spans="1:16" ht="21.95" hidden="1" customHeight="1">
      <c r="A65" s="581"/>
      <c r="B65" s="582" t="s">
        <v>803</v>
      </c>
      <c r="C65" s="429"/>
      <c r="D65" s="559"/>
      <c r="E65" s="423"/>
      <c r="F65" s="423"/>
      <c r="G65" s="416"/>
      <c r="H65" s="416"/>
      <c r="I65" s="410"/>
      <c r="J65" s="424"/>
      <c r="K65" s="410"/>
      <c r="L65" s="428"/>
      <c r="M65" s="572"/>
      <c r="N65" s="440"/>
      <c r="O65" s="440"/>
      <c r="P65" s="440"/>
    </row>
    <row r="66" spans="1:16" ht="21.95" hidden="1" customHeight="1">
      <c r="A66" s="581"/>
      <c r="B66" s="582" t="s">
        <v>804</v>
      </c>
      <c r="C66" s="427"/>
      <c r="D66" s="559"/>
      <c r="E66" s="423"/>
      <c r="F66" s="423"/>
      <c r="G66" s="416"/>
      <c r="H66" s="416"/>
      <c r="I66" s="410"/>
      <c r="J66" s="424"/>
      <c r="K66" s="410"/>
      <c r="L66" s="428"/>
      <c r="M66" s="572"/>
      <c r="N66" s="440"/>
      <c r="O66" s="440"/>
      <c r="P66" s="440"/>
    </row>
    <row r="67" spans="1:16" ht="21.95" hidden="1" customHeight="1">
      <c r="A67" s="581"/>
      <c r="B67" s="582" t="s">
        <v>805</v>
      </c>
      <c r="C67" s="427"/>
      <c r="D67" s="559"/>
      <c r="E67" s="423"/>
      <c r="F67" s="423"/>
      <c r="G67" s="416"/>
      <c r="H67" s="416"/>
      <c r="I67" s="410"/>
      <c r="J67" s="424"/>
      <c r="K67" s="410"/>
      <c r="L67" s="428"/>
      <c r="M67" s="572"/>
      <c r="N67" s="440"/>
      <c r="O67" s="440"/>
      <c r="P67" s="440"/>
    </row>
    <row r="68" spans="1:16" ht="21.95" customHeight="1">
      <c r="A68" s="1044" t="s">
        <v>574</v>
      </c>
      <c r="B68" s="568" t="s">
        <v>1088</v>
      </c>
      <c r="C68" s="427">
        <v>380000</v>
      </c>
      <c r="D68" s="410">
        <v>200000</v>
      </c>
      <c r="E68" s="423"/>
      <c r="F68" s="423"/>
      <c r="G68" s="410"/>
      <c r="H68" s="416"/>
      <c r="I68" s="410"/>
      <c r="J68" s="424"/>
      <c r="K68" s="410"/>
      <c r="L68" s="411"/>
      <c r="M68" s="572">
        <f>SUM(C68:L68)</f>
        <v>580000</v>
      </c>
      <c r="N68" s="440"/>
      <c r="O68" s="440"/>
      <c r="P68" s="440"/>
    </row>
    <row r="69" spans="1:16" ht="21.95" customHeight="1">
      <c r="A69" s="1053"/>
      <c r="B69" s="732" t="s">
        <v>149</v>
      </c>
      <c r="C69" s="427"/>
      <c r="D69" s="410">
        <f>2750000+3650000-2800000</f>
        <v>3600000</v>
      </c>
      <c r="E69" s="423"/>
      <c r="F69" s="423"/>
      <c r="G69" s="410"/>
      <c r="H69" s="416"/>
      <c r="I69" s="410"/>
      <c r="J69" s="424">
        <v>2800000</v>
      </c>
      <c r="K69" s="410"/>
      <c r="L69" s="411"/>
      <c r="M69" s="572">
        <f t="shared" ref="M69:M112" si="1">SUM(C69:L69)</f>
        <v>6400000</v>
      </c>
      <c r="N69" s="440"/>
      <c r="O69" s="440"/>
      <c r="P69" s="440"/>
    </row>
    <row r="70" spans="1:16" ht="21.95" customHeight="1">
      <c r="A70" s="1053"/>
      <c r="B70" s="732" t="s">
        <v>575</v>
      </c>
      <c r="C70" s="427">
        <v>303600</v>
      </c>
      <c r="D70" s="410">
        <f>6908000-2080000</f>
        <v>4828000</v>
      </c>
      <c r="E70" s="423"/>
      <c r="F70" s="423"/>
      <c r="G70" s="410"/>
      <c r="H70" s="416"/>
      <c r="I70" s="410"/>
      <c r="J70" s="424"/>
      <c r="K70" s="410"/>
      <c r="L70" s="411"/>
      <c r="M70" s="572">
        <f t="shared" si="1"/>
        <v>5131600</v>
      </c>
      <c r="N70" s="440"/>
      <c r="O70" s="440"/>
      <c r="P70" s="440"/>
    </row>
    <row r="71" spans="1:16" ht="21.95" customHeight="1">
      <c r="A71" s="1053"/>
      <c r="B71" s="732" t="s">
        <v>576</v>
      </c>
      <c r="C71" s="427">
        <f>3360000+3200000</f>
        <v>6560000</v>
      </c>
      <c r="D71" s="410">
        <f>542000-50000</f>
        <v>492000</v>
      </c>
      <c r="E71" s="423">
        <f>768000</f>
        <v>768000</v>
      </c>
      <c r="F71" s="423"/>
      <c r="G71" s="410"/>
      <c r="H71" s="416"/>
      <c r="I71" s="410"/>
      <c r="J71" s="424"/>
      <c r="K71" s="410"/>
      <c r="L71" s="411"/>
      <c r="M71" s="572">
        <f t="shared" si="1"/>
        <v>7820000</v>
      </c>
      <c r="N71" s="440"/>
      <c r="O71" s="440"/>
      <c r="P71" s="440"/>
    </row>
    <row r="72" spans="1:16" ht="21.95" customHeight="1">
      <c r="A72" s="1053"/>
      <c r="B72" s="732" t="s">
        <v>577</v>
      </c>
      <c r="C72" s="427"/>
      <c r="D72" s="434">
        <v>10204447</v>
      </c>
      <c r="E72" s="423"/>
      <c r="F72" s="423"/>
      <c r="G72" s="410"/>
      <c r="H72" s="434"/>
      <c r="I72" s="410"/>
      <c r="J72" s="424">
        <v>21024000</v>
      </c>
      <c r="K72" s="410"/>
      <c r="L72" s="411"/>
      <c r="M72" s="572">
        <f t="shared" si="1"/>
        <v>31228447</v>
      </c>
      <c r="N72" s="440"/>
      <c r="O72" s="573"/>
    </row>
    <row r="73" spans="1:16" ht="21.95" customHeight="1">
      <c r="A73" s="1044" t="s">
        <v>578</v>
      </c>
      <c r="B73" s="732" t="s">
        <v>843</v>
      </c>
      <c r="C73" s="427"/>
      <c r="D73" s="410">
        <f>3276900-1000000</f>
        <v>2276900</v>
      </c>
      <c r="E73" s="423">
        <f>6960000+2820000-2820000+360000-220000+1000000</f>
        <v>8100000</v>
      </c>
      <c r="F73" s="423"/>
      <c r="G73" s="416"/>
      <c r="H73" s="423"/>
      <c r="I73" s="410"/>
      <c r="J73" s="424"/>
      <c r="K73" s="410"/>
      <c r="L73" s="411"/>
      <c r="M73" s="572">
        <f t="shared" si="1"/>
        <v>10376900</v>
      </c>
      <c r="N73" s="440"/>
    </row>
    <row r="74" spans="1:16" ht="21.95" customHeight="1">
      <c r="A74" s="1053"/>
      <c r="B74" s="732" t="s">
        <v>1089</v>
      </c>
      <c r="C74" s="427"/>
      <c r="D74" s="410"/>
      <c r="E74" s="423"/>
      <c r="F74" s="423"/>
      <c r="G74" s="416"/>
      <c r="H74" s="423"/>
      <c r="I74" s="410"/>
      <c r="J74" s="424">
        <v>3056630</v>
      </c>
      <c r="K74" s="410"/>
      <c r="L74" s="411"/>
      <c r="M74" s="572">
        <f t="shared" si="1"/>
        <v>3056630</v>
      </c>
      <c r="N74" s="440"/>
    </row>
    <row r="75" spans="1:16" ht="21.95" customHeight="1">
      <c r="A75" s="1053"/>
      <c r="B75" s="732" t="s">
        <v>1090</v>
      </c>
      <c r="C75" s="427"/>
      <c r="D75" s="410"/>
      <c r="E75" s="423"/>
      <c r="F75" s="423"/>
      <c r="G75" s="416"/>
      <c r="H75" s="423"/>
      <c r="I75" s="410"/>
      <c r="J75" s="424">
        <v>2306630</v>
      </c>
      <c r="K75" s="410"/>
      <c r="L75" s="411"/>
      <c r="M75" s="572">
        <f t="shared" si="1"/>
        <v>2306630</v>
      </c>
      <c r="N75" s="440"/>
    </row>
    <row r="76" spans="1:16" ht="21.95" customHeight="1">
      <c r="A76" s="1045"/>
      <c r="B76" s="732" t="s">
        <v>1091</v>
      </c>
      <c r="C76" s="427"/>
      <c r="D76" s="410"/>
      <c r="E76" s="423"/>
      <c r="F76" s="423"/>
      <c r="G76" s="416"/>
      <c r="H76" s="423">
        <f>3793372-3122</f>
        <v>3790250</v>
      </c>
      <c r="I76" s="410"/>
      <c r="J76" s="424"/>
      <c r="K76" s="410"/>
      <c r="L76" s="411"/>
      <c r="M76" s="572">
        <f t="shared" si="1"/>
        <v>3790250</v>
      </c>
      <c r="N76" s="440"/>
    </row>
    <row r="77" spans="1:16" ht="21.95" customHeight="1">
      <c r="A77" s="1044" t="s">
        <v>579</v>
      </c>
      <c r="B77" s="732" t="s">
        <v>580</v>
      </c>
      <c r="C77" s="427"/>
      <c r="D77" s="410"/>
      <c r="E77" s="423"/>
      <c r="F77" s="423"/>
      <c r="G77" s="416"/>
      <c r="H77" s="416"/>
      <c r="I77" s="410"/>
      <c r="J77" s="424">
        <v>21531240</v>
      </c>
      <c r="K77" s="410"/>
      <c r="L77" s="411"/>
      <c r="M77" s="572">
        <f t="shared" si="1"/>
        <v>21531240</v>
      </c>
      <c r="N77" s="440"/>
    </row>
    <row r="78" spans="1:16" ht="21.95" customHeight="1">
      <c r="A78" s="1053"/>
      <c r="B78" s="732" t="s">
        <v>685</v>
      </c>
      <c r="C78" s="427"/>
      <c r="D78" s="410">
        <f>2285330-1931260</f>
        <v>354070</v>
      </c>
      <c r="E78" s="423">
        <v>720000</v>
      </c>
      <c r="F78" s="423"/>
      <c r="G78" s="416"/>
      <c r="H78" s="416"/>
      <c r="I78" s="410"/>
      <c r="J78" s="424">
        <v>165643840</v>
      </c>
      <c r="K78" s="410"/>
      <c r="L78" s="411"/>
      <c r="M78" s="572">
        <f t="shared" si="1"/>
        <v>166717910</v>
      </c>
      <c r="N78" s="440"/>
    </row>
    <row r="79" spans="1:16" ht="21.95" customHeight="1">
      <c r="A79" s="1053"/>
      <c r="B79" s="732" t="s">
        <v>1094</v>
      </c>
      <c r="C79" s="427"/>
      <c r="D79" s="410"/>
      <c r="E79" s="423"/>
      <c r="F79" s="423"/>
      <c r="G79" s="416"/>
      <c r="H79" s="416">
        <v>5597229</v>
      </c>
      <c r="I79" s="410"/>
      <c r="J79" s="424"/>
      <c r="K79" s="410"/>
      <c r="L79" s="411"/>
      <c r="M79" s="572">
        <f t="shared" si="1"/>
        <v>5597229</v>
      </c>
      <c r="N79" s="440"/>
    </row>
    <row r="80" spans="1:16" ht="21.95" customHeight="1">
      <c r="A80" s="1053"/>
      <c r="B80" s="732" t="s">
        <v>626</v>
      </c>
      <c r="C80" s="427"/>
      <c r="D80" s="410"/>
      <c r="E80" s="423"/>
      <c r="F80" s="423"/>
      <c r="G80" s="416"/>
      <c r="H80" s="416">
        <v>54042314</v>
      </c>
      <c r="I80" s="410"/>
      <c r="J80" s="424">
        <f>66864096+42861600</f>
        <v>109725696</v>
      </c>
      <c r="K80" s="410"/>
      <c r="L80" s="411"/>
      <c r="M80" s="572">
        <f t="shared" si="1"/>
        <v>163768010</v>
      </c>
      <c r="N80" s="440"/>
    </row>
    <row r="81" spans="1:15" ht="21.95" customHeight="1">
      <c r="A81" s="1044" t="s">
        <v>581</v>
      </c>
      <c r="B81" s="732" t="s">
        <v>582</v>
      </c>
      <c r="C81" s="427"/>
      <c r="D81" s="406">
        <v>2145000</v>
      </c>
      <c r="E81" s="423"/>
      <c r="F81" s="423"/>
      <c r="G81" s="416"/>
      <c r="H81" s="416"/>
      <c r="I81" s="410"/>
      <c r="J81" s="424"/>
      <c r="K81" s="410"/>
      <c r="L81" s="411"/>
      <c r="M81" s="572">
        <f t="shared" si="1"/>
        <v>2145000</v>
      </c>
      <c r="N81" s="440"/>
    </row>
    <row r="82" spans="1:15" ht="21.95" customHeight="1">
      <c r="A82" s="1053"/>
      <c r="B82" s="732" t="s">
        <v>583</v>
      </c>
      <c r="C82" s="427">
        <v>60461650</v>
      </c>
      <c r="D82" s="410">
        <f>67062550-1566200-7380000+2035000-2018623-15000-1950000-5000000-10000000</f>
        <v>41167727</v>
      </c>
      <c r="E82" s="423"/>
      <c r="F82" s="423"/>
      <c r="G82" s="423"/>
      <c r="H82" s="416"/>
      <c r="I82" s="410"/>
      <c r="J82" s="424"/>
      <c r="K82" s="410">
        <f>2018623+15000+1950000</f>
        <v>3983623</v>
      </c>
      <c r="L82" s="411">
        <f>1009000+7380000-1477800+5000000+10000000</f>
        <v>21911200</v>
      </c>
      <c r="M82" s="572">
        <f t="shared" si="1"/>
        <v>127524200</v>
      </c>
      <c r="N82" s="440"/>
    </row>
    <row r="83" spans="1:15" ht="21.95" customHeight="1">
      <c r="A83" s="1053"/>
      <c r="B83" s="779" t="s">
        <v>1221</v>
      </c>
      <c r="C83" s="422"/>
      <c r="D83" s="434">
        <v>1409760</v>
      </c>
      <c r="E83" s="424"/>
      <c r="F83" s="424"/>
      <c r="G83" s="410"/>
      <c r="H83" s="410"/>
      <c r="I83" s="410"/>
      <c r="J83" s="424"/>
      <c r="K83" s="410"/>
      <c r="L83" s="411"/>
      <c r="M83" s="572">
        <f t="shared" si="1"/>
        <v>1409760</v>
      </c>
      <c r="N83" s="440"/>
    </row>
    <row r="84" spans="1:15" ht="21.95" customHeight="1">
      <c r="A84" s="1053"/>
      <c r="B84" s="732" t="s">
        <v>584</v>
      </c>
      <c r="C84" s="422">
        <v>11520000</v>
      </c>
      <c r="D84" s="434"/>
      <c r="E84" s="424"/>
      <c r="F84" s="424"/>
      <c r="G84" s="410"/>
      <c r="H84" s="410"/>
      <c r="I84" s="410"/>
      <c r="J84" s="424"/>
      <c r="K84" s="410">
        <v>4060000</v>
      </c>
      <c r="L84" s="411"/>
      <c r="M84" s="572">
        <f t="shared" si="1"/>
        <v>15580000</v>
      </c>
      <c r="N84" s="440"/>
    </row>
    <row r="85" spans="1:15" ht="21.95" customHeight="1">
      <c r="A85" s="1053"/>
      <c r="B85" s="732" t="s">
        <v>585</v>
      </c>
      <c r="C85" s="422"/>
      <c r="D85" s="410">
        <f>12500000-3990000</f>
        <v>8510000</v>
      </c>
      <c r="E85" s="424"/>
      <c r="F85" s="424"/>
      <c r="G85" s="410"/>
      <c r="H85" s="410"/>
      <c r="I85" s="410"/>
      <c r="J85" s="424"/>
      <c r="K85" s="410">
        <v>3990000</v>
      </c>
      <c r="L85" s="411"/>
      <c r="M85" s="572">
        <f t="shared" si="1"/>
        <v>12500000</v>
      </c>
      <c r="N85" s="440"/>
    </row>
    <row r="86" spans="1:15" ht="21.95" customHeight="1">
      <c r="A86" s="1053"/>
      <c r="B86" s="732" t="s">
        <v>586</v>
      </c>
      <c r="C86" s="422"/>
      <c r="D86" s="410">
        <v>81791670</v>
      </c>
      <c r="E86" s="424"/>
      <c r="F86" s="424"/>
      <c r="G86" s="410"/>
      <c r="H86" s="410"/>
      <c r="I86" s="410"/>
      <c r="J86" s="424"/>
      <c r="K86" s="410"/>
      <c r="L86" s="411"/>
      <c r="M86" s="572">
        <f t="shared" si="1"/>
        <v>81791670</v>
      </c>
      <c r="N86" s="440"/>
    </row>
    <row r="87" spans="1:15" ht="21.95" customHeight="1">
      <c r="A87" s="1045"/>
      <c r="B87" s="732" t="s">
        <v>587</v>
      </c>
      <c r="C87" s="430"/>
      <c r="D87" s="410"/>
      <c r="E87" s="424">
        <f>1200000-1000000</f>
        <v>200000</v>
      </c>
      <c r="F87" s="424"/>
      <c r="G87" s="410"/>
      <c r="H87" s="424">
        <f>1826087+807</f>
        <v>1826894</v>
      </c>
      <c r="I87" s="410"/>
      <c r="J87" s="424"/>
      <c r="K87" s="410"/>
      <c r="L87" s="411"/>
      <c r="M87" s="572">
        <f t="shared" si="1"/>
        <v>2026894</v>
      </c>
      <c r="N87" s="440"/>
    </row>
    <row r="88" spans="1:15" ht="21.95" customHeight="1">
      <c r="A88" s="1054" t="s">
        <v>588</v>
      </c>
      <c r="B88" s="569" t="s">
        <v>589</v>
      </c>
      <c r="C88" s="430"/>
      <c r="D88" s="410">
        <f>5940000-1950000</f>
        <v>3990000</v>
      </c>
      <c r="E88" s="410"/>
      <c r="F88" s="410"/>
      <c r="G88" s="410"/>
      <c r="H88" s="410"/>
      <c r="I88" s="410"/>
      <c r="J88" s="424"/>
      <c r="K88" s="410"/>
      <c r="L88" s="411"/>
      <c r="M88" s="572">
        <f t="shared" si="1"/>
        <v>3990000</v>
      </c>
      <c r="N88" s="440"/>
    </row>
    <row r="89" spans="1:15" ht="21.95" customHeight="1">
      <c r="A89" s="1054"/>
      <c r="B89" s="569" t="s">
        <v>590</v>
      </c>
      <c r="C89" s="430"/>
      <c r="D89" s="410"/>
      <c r="E89" s="424">
        <v>570000</v>
      </c>
      <c r="F89" s="424"/>
      <c r="G89" s="410"/>
      <c r="H89" s="410"/>
      <c r="I89" s="410"/>
      <c r="J89" s="424"/>
      <c r="K89" s="410"/>
      <c r="L89" s="411"/>
      <c r="M89" s="572">
        <f t="shared" si="1"/>
        <v>570000</v>
      </c>
      <c r="N89" s="440"/>
    </row>
    <row r="90" spans="1:15" ht="21.95" customHeight="1">
      <c r="A90" s="1054"/>
      <c r="B90" s="569" t="s">
        <v>591</v>
      </c>
      <c r="C90" s="422"/>
      <c r="D90" s="410"/>
      <c r="E90" s="424"/>
      <c r="F90" s="424"/>
      <c r="G90" s="410"/>
      <c r="H90" s="410"/>
      <c r="I90" s="410"/>
      <c r="J90" s="424"/>
      <c r="K90" s="410">
        <v>3250000</v>
      </c>
      <c r="L90" s="411"/>
      <c r="M90" s="572">
        <f t="shared" si="1"/>
        <v>3250000</v>
      </c>
      <c r="N90" s="440"/>
    </row>
    <row r="91" spans="1:15" ht="21.95" customHeight="1">
      <c r="A91" s="1055" t="s">
        <v>592</v>
      </c>
      <c r="B91" s="570" t="s">
        <v>621</v>
      </c>
      <c r="C91" s="422"/>
      <c r="D91" s="410"/>
      <c r="E91" s="424">
        <v>2370000</v>
      </c>
      <c r="F91" s="424"/>
      <c r="G91" s="410"/>
      <c r="H91" s="410"/>
      <c r="I91" s="410"/>
      <c r="J91" s="424"/>
      <c r="K91" s="410">
        <f>8026000-2203200+557200-15000</f>
        <v>6365000</v>
      </c>
      <c r="L91" s="411">
        <v>1477800</v>
      </c>
      <c r="M91" s="572">
        <f t="shared" si="1"/>
        <v>10212800</v>
      </c>
      <c r="N91" s="440"/>
    </row>
    <row r="92" spans="1:15" ht="21.95" customHeight="1">
      <c r="A92" s="1056"/>
      <c r="B92" s="566" t="s">
        <v>627</v>
      </c>
      <c r="C92" s="422"/>
      <c r="D92" s="410"/>
      <c r="E92" s="424">
        <v>150000</v>
      </c>
      <c r="F92" s="424"/>
      <c r="G92" s="410"/>
      <c r="H92" s="410"/>
      <c r="I92" s="410"/>
      <c r="J92" s="424"/>
      <c r="K92" s="410">
        <v>2370000</v>
      </c>
      <c r="L92" s="411"/>
      <c r="M92" s="572">
        <f t="shared" si="1"/>
        <v>2520000</v>
      </c>
      <c r="N92" s="440"/>
      <c r="O92" s="573"/>
    </row>
    <row r="93" spans="1:15" ht="21.95" customHeight="1">
      <c r="A93" s="1057"/>
      <c r="B93" s="732" t="s">
        <v>593</v>
      </c>
      <c r="C93" s="422">
        <v>3000000</v>
      </c>
      <c r="D93" s="410"/>
      <c r="E93" s="424"/>
      <c r="F93" s="424"/>
      <c r="G93" s="410"/>
      <c r="H93" s="410"/>
      <c r="I93" s="410"/>
      <c r="J93" s="424"/>
      <c r="K93" s="410"/>
      <c r="L93" s="411"/>
      <c r="M93" s="572">
        <f t="shared" si="1"/>
        <v>3000000</v>
      </c>
      <c r="N93" s="440"/>
      <c r="O93" s="573"/>
    </row>
    <row r="94" spans="1:15" ht="21.95" customHeight="1">
      <c r="A94" s="1055" t="s">
        <v>594</v>
      </c>
      <c r="B94" s="732" t="s">
        <v>1227</v>
      </c>
      <c r="C94" s="422"/>
      <c r="D94" s="410">
        <f>1115000+163173+300000</f>
        <v>1578173</v>
      </c>
      <c r="E94" s="424">
        <f>33600000+70000</f>
        <v>33670000</v>
      </c>
      <c r="F94" s="424"/>
      <c r="G94" s="410"/>
      <c r="H94" s="410">
        <f>1500000-163173</f>
        <v>1336827</v>
      </c>
      <c r="I94" s="410"/>
      <c r="J94" s="424"/>
      <c r="K94" s="410"/>
      <c r="L94" s="411"/>
      <c r="M94" s="572">
        <f t="shared" si="1"/>
        <v>36585000</v>
      </c>
      <c r="N94" s="440"/>
    </row>
    <row r="95" spans="1:15" ht="21.95" customHeight="1">
      <c r="A95" s="1056"/>
      <c r="B95" s="732" t="s">
        <v>595</v>
      </c>
      <c r="C95" s="422"/>
      <c r="D95" s="434"/>
      <c r="E95" s="424"/>
      <c r="F95" s="424"/>
      <c r="G95" s="410"/>
      <c r="H95" s="410"/>
      <c r="I95" s="410"/>
      <c r="J95" s="424"/>
      <c r="L95" s="410">
        <f>9784000-909000</f>
        <v>8875000</v>
      </c>
      <c r="M95" s="572">
        <f t="shared" si="1"/>
        <v>8875000</v>
      </c>
      <c r="N95" s="440"/>
      <c r="O95" s="439">
        <v>11095000</v>
      </c>
    </row>
    <row r="96" spans="1:15" ht="21.95" customHeight="1">
      <c r="A96" s="1053"/>
      <c r="B96" s="732" t="s">
        <v>554</v>
      </c>
      <c r="C96" s="422"/>
      <c r="D96" s="410"/>
      <c r="E96" s="424"/>
      <c r="F96" s="424"/>
      <c r="G96" s="410"/>
      <c r="H96" s="410"/>
      <c r="I96" s="410"/>
      <c r="J96" s="424">
        <v>46336000</v>
      </c>
      <c r="K96" s="410"/>
      <c r="L96" s="411"/>
      <c r="M96" s="572">
        <f t="shared" si="1"/>
        <v>46336000</v>
      </c>
      <c r="N96" s="440"/>
      <c r="O96" s="573"/>
    </row>
    <row r="97" spans="1:18" ht="21.95" customHeight="1">
      <c r="A97" s="1053"/>
      <c r="B97" s="732" t="s">
        <v>596</v>
      </c>
      <c r="C97" s="422"/>
      <c r="E97" s="424"/>
      <c r="F97" s="424"/>
      <c r="G97" s="410"/>
      <c r="H97" s="410"/>
      <c r="I97" s="410"/>
      <c r="J97" s="424"/>
      <c r="K97" s="410"/>
      <c r="L97" s="406">
        <v>0</v>
      </c>
      <c r="M97" s="572">
        <f t="shared" si="1"/>
        <v>0</v>
      </c>
      <c r="N97" s="440"/>
    </row>
    <row r="98" spans="1:18" ht="21.95" customHeight="1">
      <c r="A98" s="1053"/>
      <c r="B98" s="732" t="s">
        <v>597</v>
      </c>
      <c r="C98" s="422"/>
      <c r="D98" s="410"/>
      <c r="E98" s="424"/>
      <c r="F98" s="424"/>
      <c r="G98" s="410"/>
      <c r="H98" s="424">
        <v>4000000</v>
      </c>
      <c r="I98" s="410"/>
      <c r="J98" s="424"/>
      <c r="K98" s="410"/>
      <c r="L98" s="411"/>
      <c r="M98" s="572">
        <f t="shared" si="1"/>
        <v>4000000</v>
      </c>
      <c r="N98" s="440"/>
    </row>
    <row r="99" spans="1:18" s="412" customFormat="1" ht="21.95" customHeight="1">
      <c r="A99" s="1053"/>
      <c r="B99" s="732" t="s">
        <v>598</v>
      </c>
      <c r="C99" s="422">
        <v>13000000</v>
      </c>
      <c r="D99" s="410"/>
      <c r="E99" s="424"/>
      <c r="F99" s="424"/>
      <c r="G99" s="410"/>
      <c r="H99" s="410"/>
      <c r="I99" s="410"/>
      <c r="J99" s="424"/>
      <c r="K99" s="410"/>
      <c r="L99" s="411"/>
      <c r="M99" s="572">
        <f t="shared" si="1"/>
        <v>13000000</v>
      </c>
      <c r="N99" s="440"/>
      <c r="O99" s="574"/>
      <c r="P99" s="440"/>
      <c r="Q99" s="440"/>
      <c r="R99" s="440"/>
    </row>
    <row r="100" spans="1:18" s="412" customFormat="1" ht="21.95" customHeight="1">
      <c r="A100" s="1053"/>
      <c r="B100" s="732" t="s">
        <v>599</v>
      </c>
      <c r="C100" s="422"/>
      <c r="D100" s="410"/>
      <c r="E100" s="424"/>
      <c r="F100" s="424"/>
      <c r="G100" s="410"/>
      <c r="H100" s="410"/>
      <c r="I100" s="410"/>
      <c r="J100" s="424"/>
      <c r="K100" s="410"/>
      <c r="L100" s="422">
        <v>7536000</v>
      </c>
      <c r="M100" s="572">
        <f t="shared" si="1"/>
        <v>7536000</v>
      </c>
      <c r="N100" s="440"/>
      <c r="O100" s="440"/>
      <c r="P100" s="440"/>
      <c r="Q100" s="440"/>
      <c r="R100" s="440"/>
    </row>
    <row r="101" spans="1:18" s="412" customFormat="1" ht="21.95" customHeight="1">
      <c r="A101" s="1053"/>
      <c r="B101" s="732" t="s">
        <v>600</v>
      </c>
      <c r="C101" s="422">
        <v>5000000</v>
      </c>
      <c r="D101" s="410"/>
      <c r="E101" s="424"/>
      <c r="F101" s="424"/>
      <c r="G101" s="410"/>
      <c r="H101" s="410"/>
      <c r="I101" s="410"/>
      <c r="J101" s="424"/>
      <c r="K101" s="410"/>
      <c r="L101" s="411"/>
      <c r="M101" s="572">
        <f t="shared" si="1"/>
        <v>5000000</v>
      </c>
      <c r="N101" s="440"/>
      <c r="O101" s="574"/>
      <c r="P101" s="440"/>
      <c r="Q101" s="440"/>
      <c r="R101" s="440"/>
    </row>
    <row r="102" spans="1:18" s="412" customFormat="1" ht="21.95" customHeight="1">
      <c r="A102" s="1055" t="s">
        <v>601</v>
      </c>
      <c r="B102" s="732" t="s">
        <v>602</v>
      </c>
      <c r="C102" s="422"/>
      <c r="D102" s="435"/>
      <c r="E102" s="424"/>
      <c r="F102" s="424"/>
      <c r="G102" s="410"/>
      <c r="H102" s="410"/>
      <c r="I102" s="410"/>
      <c r="J102" s="424"/>
      <c r="K102" s="410"/>
      <c r="M102" s="572">
        <f t="shared" si="1"/>
        <v>0</v>
      </c>
      <c r="N102" s="440"/>
      <c r="O102" s="440"/>
      <c r="P102" s="440"/>
      <c r="Q102" s="440"/>
      <c r="R102" s="440"/>
    </row>
    <row r="103" spans="1:18" s="412" customFormat="1" ht="21.95" customHeight="1">
      <c r="A103" s="1056"/>
      <c r="B103" s="732" t="s">
        <v>603</v>
      </c>
      <c r="C103" s="411"/>
      <c r="D103" s="730"/>
      <c r="E103" s="424"/>
      <c r="F103" s="424"/>
      <c r="G103" s="410"/>
      <c r="H103" s="435"/>
      <c r="I103" s="410"/>
      <c r="J103" s="424"/>
      <c r="K103" s="410"/>
      <c r="L103" s="410">
        <v>200000</v>
      </c>
      <c r="M103" s="572">
        <f t="shared" si="1"/>
        <v>200000</v>
      </c>
      <c r="N103" s="440"/>
      <c r="O103" s="440"/>
      <c r="P103" s="440"/>
      <c r="Q103" s="440"/>
      <c r="R103" s="440"/>
    </row>
    <row r="104" spans="1:18" s="412" customFormat="1" ht="21.95" customHeight="1">
      <c r="A104" s="1056"/>
      <c r="B104" s="732" t="s">
        <v>1092</v>
      </c>
      <c r="C104" s="411"/>
      <c r="D104" s="435"/>
      <c r="E104" s="424"/>
      <c r="F104" s="424"/>
      <c r="G104" s="410"/>
      <c r="H104" s="435"/>
      <c r="I104" s="410"/>
      <c r="J104" s="424">
        <v>313000000</v>
      </c>
      <c r="K104" s="410"/>
      <c r="L104" s="410"/>
      <c r="M104" s="572">
        <f t="shared" si="1"/>
        <v>313000000</v>
      </c>
      <c r="N104" s="440"/>
      <c r="O104" s="440"/>
      <c r="P104" s="440"/>
      <c r="Q104" s="440"/>
      <c r="R104" s="440"/>
    </row>
    <row r="105" spans="1:18" s="412" customFormat="1" ht="21.95" customHeight="1">
      <c r="A105" s="437" t="s">
        <v>604</v>
      </c>
      <c r="B105" s="732" t="s">
        <v>604</v>
      </c>
      <c r="C105" s="411"/>
      <c r="D105" s="410"/>
      <c r="E105" s="424"/>
      <c r="F105" s="424"/>
      <c r="G105" s="410"/>
      <c r="H105" s="424"/>
      <c r="I105" s="410"/>
      <c r="J105" s="410"/>
      <c r="K105" s="410"/>
      <c r="L105" s="411"/>
      <c r="M105" s="572">
        <f t="shared" si="1"/>
        <v>0</v>
      </c>
      <c r="N105" s="440"/>
      <c r="O105" s="440"/>
      <c r="P105" s="440"/>
      <c r="Q105" s="440"/>
      <c r="R105" s="440"/>
    </row>
    <row r="106" spans="1:18" ht="21.95" customHeight="1">
      <c r="A106" s="1044" t="s">
        <v>605</v>
      </c>
      <c r="B106" s="569" t="s">
        <v>606</v>
      </c>
      <c r="C106" s="411"/>
      <c r="D106" s="410"/>
      <c r="E106" s="410"/>
      <c r="F106" s="410"/>
      <c r="G106" s="410"/>
      <c r="H106" s="410"/>
      <c r="I106" s="410"/>
      <c r="J106" s="410"/>
      <c r="K106" s="410"/>
      <c r="L106" s="411"/>
      <c r="M106" s="572">
        <f t="shared" si="1"/>
        <v>0</v>
      </c>
      <c r="N106" s="440"/>
    </row>
    <row r="107" spans="1:18" ht="21.95" customHeight="1">
      <c r="A107" s="1045"/>
      <c r="B107" s="732" t="s">
        <v>607</v>
      </c>
      <c r="C107" s="411"/>
      <c r="D107" s="410"/>
      <c r="E107" s="424"/>
      <c r="F107" s="424"/>
      <c r="G107" s="410"/>
      <c r="H107" s="410"/>
      <c r="I107" s="410"/>
      <c r="J107" s="410"/>
      <c r="K107" s="410"/>
      <c r="L107" s="411"/>
      <c r="M107" s="572">
        <f t="shared" si="1"/>
        <v>0</v>
      </c>
      <c r="N107" s="440"/>
    </row>
    <row r="108" spans="1:18" s="412" customFormat="1" ht="21.95" customHeight="1">
      <c r="A108" s="1055" t="s">
        <v>608</v>
      </c>
      <c r="B108" s="732" t="s">
        <v>609</v>
      </c>
      <c r="C108" s="411"/>
      <c r="D108" s="410"/>
      <c r="E108" s="424">
        <v>92369000</v>
      </c>
      <c r="F108" s="424"/>
      <c r="G108" s="424"/>
      <c r="H108" s="424">
        <f>128084+888366</f>
        <v>1016450</v>
      </c>
      <c r="I108" s="410"/>
      <c r="J108" s="410"/>
      <c r="K108" s="410"/>
      <c r="L108" s="411"/>
      <c r="M108" s="572">
        <f t="shared" si="1"/>
        <v>93385450</v>
      </c>
      <c r="N108" s="440"/>
      <c r="O108" s="440"/>
      <c r="P108" s="440"/>
      <c r="Q108" s="440"/>
      <c r="R108" s="440"/>
    </row>
    <row r="109" spans="1:18" s="412" customFormat="1" ht="21.95" customHeight="1">
      <c r="A109" s="1057"/>
      <c r="B109" s="732" t="s">
        <v>823</v>
      </c>
      <c r="C109" s="411"/>
      <c r="E109" s="424">
        <v>6000000</v>
      </c>
      <c r="F109" s="424"/>
      <c r="G109" s="410"/>
      <c r="H109" s="424">
        <v>4591488</v>
      </c>
      <c r="I109" s="571"/>
      <c r="J109" s="410"/>
      <c r="K109" s="410"/>
      <c r="L109" s="411"/>
      <c r="M109" s="572">
        <f t="shared" si="1"/>
        <v>10591488</v>
      </c>
      <c r="N109" s="440"/>
      <c r="O109" s="440"/>
      <c r="P109" s="440"/>
      <c r="Q109" s="440"/>
      <c r="R109" s="440"/>
    </row>
    <row r="110" spans="1:18" ht="21.95" customHeight="1">
      <c r="A110" s="417" t="s">
        <v>610</v>
      </c>
      <c r="B110" s="569" t="s">
        <v>610</v>
      </c>
      <c r="C110" s="411"/>
      <c r="D110" s="410"/>
      <c r="E110" s="410"/>
      <c r="F110" s="410"/>
      <c r="G110" s="410"/>
      <c r="H110" s="410"/>
      <c r="I110" s="410"/>
      <c r="J110" s="410"/>
      <c r="K110" s="410"/>
      <c r="L110" s="411"/>
      <c r="M110" s="572">
        <f t="shared" si="1"/>
        <v>0</v>
      </c>
      <c r="N110" s="440"/>
    </row>
    <row r="111" spans="1:18" ht="21.95" customHeight="1">
      <c r="A111" s="1058" t="s">
        <v>611</v>
      </c>
      <c r="B111" s="1059"/>
      <c r="C111" s="428"/>
      <c r="D111" s="410"/>
      <c r="E111" s="410"/>
      <c r="F111" s="410"/>
      <c r="G111" s="410"/>
      <c r="H111" s="410"/>
      <c r="I111" s="410"/>
      <c r="J111" s="410"/>
      <c r="K111" s="410"/>
      <c r="L111" s="411"/>
      <c r="M111" s="572">
        <f t="shared" si="1"/>
        <v>0</v>
      </c>
      <c r="N111" s="440"/>
    </row>
    <row r="112" spans="1:18" ht="21.95" customHeight="1">
      <c r="A112" s="1058" t="s">
        <v>497</v>
      </c>
      <c r="B112" s="1059"/>
      <c r="C112" s="428"/>
      <c r="D112" s="410">
        <v>1000000</v>
      </c>
      <c r="E112" s="571"/>
      <c r="F112" s="571"/>
      <c r="G112" s="571"/>
      <c r="H112" s="571">
        <f>773769+48117+3784353+21+3122</f>
        <v>4609382</v>
      </c>
      <c r="I112" s="410">
        <v>250000</v>
      </c>
      <c r="J112" s="410"/>
      <c r="K112" s="410"/>
      <c r="L112" s="428"/>
      <c r="M112" s="572">
        <f t="shared" si="1"/>
        <v>5859382</v>
      </c>
      <c r="N112" s="440"/>
    </row>
    <row r="113" spans="1:18" ht="21.95" customHeight="1">
      <c r="A113" s="1060" t="s">
        <v>253</v>
      </c>
      <c r="B113" s="1061"/>
      <c r="C113" s="431">
        <f t="shared" ref="C113:H113" si="2">SUM(C3:C112)</f>
        <v>2132155000</v>
      </c>
      <c r="D113" s="432">
        <f t="shared" si="2"/>
        <v>416591767</v>
      </c>
      <c r="E113" s="431">
        <f t="shared" si="2"/>
        <v>144917000</v>
      </c>
      <c r="F113" s="431">
        <f t="shared" si="2"/>
        <v>0</v>
      </c>
      <c r="G113" s="432">
        <f t="shared" si="2"/>
        <v>0</v>
      </c>
      <c r="H113" s="432">
        <f t="shared" si="2"/>
        <v>94381604</v>
      </c>
      <c r="I113" s="431">
        <f>SUM(I3:I112)-I57</f>
        <v>3000000</v>
      </c>
      <c r="J113" s="431">
        <f>SUM(J3:J112)</f>
        <v>685424036</v>
      </c>
      <c r="K113" s="432">
        <f>SUM(K3:K112)</f>
        <v>24018623</v>
      </c>
      <c r="L113" s="432">
        <f>SUM(L3:L112)</f>
        <v>40000000</v>
      </c>
      <c r="M113" s="413">
        <f>SUM(M3:M112)</f>
        <v>3540488030</v>
      </c>
      <c r="N113" s="440"/>
    </row>
    <row r="115" spans="1:18" ht="21.95" customHeight="1">
      <c r="A115" s="1044" t="s">
        <v>612</v>
      </c>
      <c r="B115" s="565"/>
      <c r="C115" s="418" t="s">
        <v>565</v>
      </c>
      <c r="D115" s="426" t="s">
        <v>530</v>
      </c>
      <c r="E115" s="426" t="s">
        <v>533</v>
      </c>
      <c r="F115" s="426"/>
      <c r="G115" s="426"/>
      <c r="H115" s="426" t="s">
        <v>566</v>
      </c>
      <c r="I115" s="426" t="s">
        <v>548</v>
      </c>
      <c r="J115" s="426" t="s">
        <v>567</v>
      </c>
      <c r="K115" s="426" t="s">
        <v>568</v>
      </c>
      <c r="L115" s="418" t="s">
        <v>527</v>
      </c>
      <c r="M115" s="438" t="s">
        <v>253</v>
      </c>
    </row>
    <row r="116" spans="1:18" s="405" customFormat="1" ht="21.95" customHeight="1">
      <c r="A116" s="1053"/>
      <c r="B116" s="414" t="s">
        <v>613</v>
      </c>
      <c r="C116" s="433">
        <f>SUM(C3:C7)</f>
        <v>1704442000</v>
      </c>
      <c r="D116" s="433">
        <f t="shared" ref="D116:L116" si="3">SUM(D3:D7)</f>
        <v>192123980</v>
      </c>
      <c r="E116" s="433">
        <f t="shared" si="3"/>
        <v>0</v>
      </c>
      <c r="F116" s="433">
        <f t="shared" si="3"/>
        <v>0</v>
      </c>
      <c r="G116" s="433">
        <f t="shared" si="3"/>
        <v>0</v>
      </c>
      <c r="H116" s="433">
        <f t="shared" si="3"/>
        <v>0</v>
      </c>
      <c r="I116" s="433">
        <f t="shared" si="3"/>
        <v>1900000</v>
      </c>
      <c r="J116" s="433">
        <f t="shared" si="3"/>
        <v>0</v>
      </c>
      <c r="K116" s="433">
        <f t="shared" si="3"/>
        <v>0</v>
      </c>
      <c r="L116" s="433">
        <f t="shared" si="3"/>
        <v>0</v>
      </c>
      <c r="M116" s="415">
        <f>SUM(M3:M7)</f>
        <v>1898465980</v>
      </c>
      <c r="N116" s="441"/>
      <c r="O116" s="441"/>
      <c r="P116" s="441"/>
      <c r="Q116" s="441"/>
      <c r="R116" s="441"/>
    </row>
    <row r="117" spans="1:18" s="405" customFormat="1" ht="21.95" customHeight="1">
      <c r="A117" s="1053"/>
      <c r="B117" s="414" t="s">
        <v>614</v>
      </c>
      <c r="C117" s="433">
        <f>SUM(C8)</f>
        <v>0</v>
      </c>
      <c r="D117" s="433">
        <f t="shared" ref="D117:L117" si="4">SUM(D8)</f>
        <v>5720000</v>
      </c>
      <c r="E117" s="433">
        <f t="shared" si="4"/>
        <v>0</v>
      </c>
      <c r="F117" s="433">
        <f t="shared" si="4"/>
        <v>0</v>
      </c>
      <c r="G117" s="433">
        <f t="shared" si="4"/>
        <v>0</v>
      </c>
      <c r="H117" s="433">
        <f t="shared" si="4"/>
        <v>0</v>
      </c>
      <c r="I117" s="433">
        <f t="shared" si="4"/>
        <v>0</v>
      </c>
      <c r="J117" s="433">
        <f t="shared" si="4"/>
        <v>0</v>
      </c>
      <c r="K117" s="433">
        <f t="shared" si="4"/>
        <v>0</v>
      </c>
      <c r="L117" s="433">
        <f t="shared" si="4"/>
        <v>0</v>
      </c>
      <c r="M117" s="415">
        <f>SUM(M8)</f>
        <v>5720000</v>
      </c>
      <c r="N117" s="441"/>
      <c r="O117" s="441"/>
      <c r="P117" s="441"/>
      <c r="Q117" s="441"/>
      <c r="R117" s="441"/>
    </row>
    <row r="118" spans="1:18" s="405" customFormat="1" ht="21.95" customHeight="1">
      <c r="A118" s="1053"/>
      <c r="B118" s="414" t="s">
        <v>615</v>
      </c>
      <c r="C118" s="433">
        <f>SUM(C9)</f>
        <v>100870750</v>
      </c>
      <c r="D118" s="433">
        <f t="shared" ref="D118:L118" si="5">SUM(D9)</f>
        <v>46880440</v>
      </c>
      <c r="E118" s="433">
        <f t="shared" si="5"/>
        <v>0</v>
      </c>
      <c r="F118" s="433">
        <f t="shared" si="5"/>
        <v>0</v>
      </c>
      <c r="G118" s="433">
        <f t="shared" si="5"/>
        <v>0</v>
      </c>
      <c r="H118" s="433">
        <f t="shared" si="5"/>
        <v>13570770</v>
      </c>
      <c r="I118" s="433">
        <f t="shared" si="5"/>
        <v>850000</v>
      </c>
      <c r="J118" s="433">
        <f t="shared" si="5"/>
        <v>0</v>
      </c>
      <c r="K118" s="433">
        <f t="shared" si="5"/>
        <v>0</v>
      </c>
      <c r="L118" s="433">
        <f t="shared" si="5"/>
        <v>0</v>
      </c>
      <c r="M118" s="415">
        <f>SUM(M9)</f>
        <v>162171960</v>
      </c>
      <c r="N118" s="441"/>
      <c r="O118" s="441"/>
      <c r="P118" s="441"/>
      <c r="Q118" s="441"/>
      <c r="R118" s="441"/>
    </row>
    <row r="119" spans="1:18" s="405" customFormat="1" ht="21.95" customHeight="1">
      <c r="A119" s="1053"/>
      <c r="B119" s="414" t="s">
        <v>616</v>
      </c>
      <c r="C119" s="433">
        <f>SUM(C58)</f>
        <v>226617000</v>
      </c>
      <c r="D119" s="433">
        <f t="shared" ref="D119:L119" si="6">SUM(D58)</f>
        <v>8319600</v>
      </c>
      <c r="E119" s="433">
        <f t="shared" si="6"/>
        <v>0</v>
      </c>
      <c r="F119" s="433">
        <f t="shared" si="6"/>
        <v>0</v>
      </c>
      <c r="G119" s="433">
        <f t="shared" si="6"/>
        <v>0</v>
      </c>
      <c r="H119" s="433">
        <f t="shared" si="6"/>
        <v>0</v>
      </c>
      <c r="I119" s="433">
        <f t="shared" si="6"/>
        <v>0</v>
      </c>
      <c r="J119" s="433">
        <f t="shared" si="6"/>
        <v>0</v>
      </c>
      <c r="K119" s="433">
        <f t="shared" si="6"/>
        <v>0</v>
      </c>
      <c r="L119" s="433">
        <f t="shared" si="6"/>
        <v>0</v>
      </c>
      <c r="M119" s="415">
        <f>SUM(M58)</f>
        <v>234936600</v>
      </c>
      <c r="N119" s="441"/>
      <c r="O119" s="441"/>
      <c r="P119" s="441"/>
      <c r="Q119" s="441"/>
      <c r="R119" s="441"/>
    </row>
    <row r="120" spans="1:18" s="405" customFormat="1" ht="21.95" customHeight="1">
      <c r="A120" s="1053"/>
      <c r="B120" s="414" t="s">
        <v>617</v>
      </c>
      <c r="C120" s="433">
        <f>SUM(C68:C110)</f>
        <v>100225250</v>
      </c>
      <c r="D120" s="433">
        <f t="shared" ref="D120:L120" si="7">SUM(D68:D110)</f>
        <v>162547747</v>
      </c>
      <c r="E120" s="433">
        <f t="shared" si="7"/>
        <v>144917000</v>
      </c>
      <c r="F120" s="433">
        <f t="shared" si="7"/>
        <v>0</v>
      </c>
      <c r="G120" s="433">
        <f t="shared" si="7"/>
        <v>0</v>
      </c>
      <c r="H120" s="433">
        <f t="shared" si="7"/>
        <v>76201452</v>
      </c>
      <c r="I120" s="433">
        <f t="shared" si="7"/>
        <v>0</v>
      </c>
      <c r="J120" s="433">
        <f t="shared" si="7"/>
        <v>685424036</v>
      </c>
      <c r="K120" s="433">
        <f t="shared" si="7"/>
        <v>24018623</v>
      </c>
      <c r="L120" s="433">
        <f t="shared" si="7"/>
        <v>40000000</v>
      </c>
      <c r="M120" s="415">
        <f>SUM(M68:M110)</f>
        <v>1233334108</v>
      </c>
      <c r="N120" s="441"/>
      <c r="O120" s="441"/>
      <c r="P120" s="441"/>
      <c r="Q120" s="441"/>
      <c r="R120" s="441"/>
    </row>
    <row r="121" spans="1:18" s="405" customFormat="1" ht="21.95" customHeight="1">
      <c r="A121" s="1053"/>
      <c r="B121" s="414" t="s">
        <v>618</v>
      </c>
      <c r="C121" s="433">
        <f>SUM(C111)</f>
        <v>0</v>
      </c>
      <c r="D121" s="433">
        <f t="shared" ref="D121:L121" si="8">SUM(D111)</f>
        <v>0</v>
      </c>
      <c r="E121" s="433">
        <f t="shared" si="8"/>
        <v>0</v>
      </c>
      <c r="F121" s="433">
        <f t="shared" si="8"/>
        <v>0</v>
      </c>
      <c r="G121" s="433">
        <f t="shared" si="8"/>
        <v>0</v>
      </c>
      <c r="H121" s="433">
        <f t="shared" si="8"/>
        <v>0</v>
      </c>
      <c r="I121" s="433">
        <f t="shared" si="8"/>
        <v>0</v>
      </c>
      <c r="J121" s="433">
        <f t="shared" si="8"/>
        <v>0</v>
      </c>
      <c r="K121" s="433">
        <f t="shared" si="8"/>
        <v>0</v>
      </c>
      <c r="L121" s="433">
        <f t="shared" si="8"/>
        <v>0</v>
      </c>
      <c r="M121" s="415">
        <f>SUM(M111)</f>
        <v>0</v>
      </c>
      <c r="N121" s="441"/>
      <c r="O121" s="441"/>
      <c r="P121" s="441"/>
      <c r="Q121" s="441"/>
      <c r="R121" s="441"/>
    </row>
    <row r="122" spans="1:18" s="405" customFormat="1" ht="21.95" customHeight="1">
      <c r="A122" s="1053"/>
      <c r="B122" s="414" t="s">
        <v>619</v>
      </c>
      <c r="C122" s="433">
        <f>SUM(C112)</f>
        <v>0</v>
      </c>
      <c r="D122" s="433">
        <f t="shared" ref="D122:L122" si="9">SUM(D112)</f>
        <v>1000000</v>
      </c>
      <c r="E122" s="433">
        <f t="shared" si="9"/>
        <v>0</v>
      </c>
      <c r="F122" s="433">
        <f t="shared" si="9"/>
        <v>0</v>
      </c>
      <c r="G122" s="433">
        <f t="shared" si="9"/>
        <v>0</v>
      </c>
      <c r="H122" s="433">
        <f t="shared" si="9"/>
        <v>4609382</v>
      </c>
      <c r="I122" s="433">
        <f t="shared" si="9"/>
        <v>250000</v>
      </c>
      <c r="J122" s="433">
        <f t="shared" si="9"/>
        <v>0</v>
      </c>
      <c r="K122" s="433">
        <f t="shared" si="9"/>
        <v>0</v>
      </c>
      <c r="L122" s="433">
        <f t="shared" si="9"/>
        <v>0</v>
      </c>
      <c r="M122" s="415">
        <f>SUM(M112)</f>
        <v>5859382</v>
      </c>
      <c r="N122" s="441"/>
      <c r="O122" s="441"/>
      <c r="P122" s="441"/>
      <c r="Q122" s="441"/>
      <c r="R122" s="441"/>
    </row>
    <row r="123" spans="1:18" s="405" customFormat="1" ht="21.95" customHeight="1">
      <c r="A123" s="1045"/>
      <c r="B123" s="414" t="s">
        <v>620</v>
      </c>
      <c r="C123" s="433">
        <f>SUM(C116:C122)</f>
        <v>2132155000</v>
      </c>
      <c r="D123" s="433">
        <f t="shared" ref="D123:M123" si="10">SUM(D116:D122)</f>
        <v>416591767</v>
      </c>
      <c r="E123" s="433">
        <f t="shared" si="10"/>
        <v>144917000</v>
      </c>
      <c r="F123" s="433"/>
      <c r="G123" s="433"/>
      <c r="H123" s="433">
        <f t="shared" si="10"/>
        <v>94381604</v>
      </c>
      <c r="I123" s="433">
        <f t="shared" si="10"/>
        <v>3000000</v>
      </c>
      <c r="J123" s="433">
        <f t="shared" si="10"/>
        <v>685424036</v>
      </c>
      <c r="K123" s="433">
        <f t="shared" si="10"/>
        <v>24018623</v>
      </c>
      <c r="L123" s="433">
        <f t="shared" si="10"/>
        <v>40000000</v>
      </c>
      <c r="M123" s="415">
        <f t="shared" si="10"/>
        <v>3540488030</v>
      </c>
      <c r="N123" s="441"/>
      <c r="O123" s="441"/>
      <c r="P123" s="441"/>
      <c r="Q123" s="441"/>
      <c r="R123" s="441"/>
    </row>
    <row r="126" spans="1:18" ht="21.95" customHeight="1">
      <c r="L126" s="440"/>
      <c r="M126" s="744"/>
      <c r="N126" s="440"/>
      <c r="O126" s="440"/>
      <c r="P126" s="440"/>
      <c r="Q126" s="440"/>
    </row>
    <row r="127" spans="1:18" ht="21.95" customHeight="1">
      <c r="J127" s="406" t="s">
        <v>1234</v>
      </c>
      <c r="L127" s="440"/>
      <c r="M127" s="744"/>
      <c r="N127" s="440"/>
      <c r="O127" s="440"/>
      <c r="P127" s="440"/>
      <c r="Q127" s="440"/>
    </row>
    <row r="128" spans="1:18" ht="21.95" customHeight="1">
      <c r="L128" s="440"/>
      <c r="M128" s="744"/>
      <c r="N128" s="440"/>
      <c r="O128" s="440"/>
      <c r="P128" s="440"/>
      <c r="Q128" s="440"/>
    </row>
    <row r="129" spans="9:17" ht="21.95" customHeight="1">
      <c r="J129" s="575"/>
      <c r="K129" s="575"/>
      <c r="M129" s="744"/>
      <c r="N129" s="440"/>
      <c r="O129" s="440"/>
      <c r="P129" s="440"/>
      <c r="Q129" s="440"/>
    </row>
    <row r="130" spans="9:17" ht="21.95" customHeight="1">
      <c r="K130" s="639"/>
      <c r="L130" s="440"/>
      <c r="M130" s="744"/>
      <c r="N130" s="440"/>
      <c r="O130" s="440"/>
      <c r="P130" s="440"/>
      <c r="Q130" s="440"/>
    </row>
    <row r="131" spans="9:17" ht="21.95" customHeight="1">
      <c r="K131" s="639"/>
      <c r="L131" s="440"/>
      <c r="M131" s="744"/>
      <c r="N131" s="440"/>
      <c r="O131" s="440"/>
      <c r="P131" s="440"/>
      <c r="Q131" s="440"/>
    </row>
    <row r="132" spans="9:17" ht="21.95" customHeight="1">
      <c r="K132" s="639"/>
      <c r="L132" s="440"/>
      <c r="M132" s="744"/>
      <c r="N132" s="440"/>
      <c r="O132" s="440"/>
      <c r="P132" s="440"/>
      <c r="Q132" s="440"/>
    </row>
    <row r="133" spans="9:17" ht="21.95" customHeight="1">
      <c r="L133" s="440"/>
      <c r="M133" s="744"/>
      <c r="N133" s="440"/>
      <c r="O133" s="440"/>
      <c r="P133" s="440"/>
      <c r="Q133" s="440"/>
    </row>
    <row r="134" spans="9:17" ht="21.95" customHeight="1">
      <c r="M134" s="412"/>
      <c r="N134" s="440"/>
      <c r="O134" s="440"/>
      <c r="P134" s="440"/>
      <c r="Q134" s="440"/>
    </row>
    <row r="135" spans="9:17" ht="21.95" customHeight="1">
      <c r="M135" s="412"/>
      <c r="N135" s="440"/>
      <c r="O135" s="440"/>
      <c r="P135" s="440"/>
      <c r="Q135" s="440"/>
    </row>
    <row r="136" spans="9:17" ht="21.95" customHeight="1">
      <c r="M136" s="412"/>
      <c r="N136" s="440"/>
      <c r="O136" s="440"/>
      <c r="P136" s="440"/>
      <c r="Q136" s="440"/>
    </row>
    <row r="137" spans="9:17" ht="21.95" customHeight="1">
      <c r="L137" s="440"/>
      <c r="M137" s="744"/>
      <c r="N137" s="440"/>
      <c r="O137" s="440"/>
      <c r="P137" s="440"/>
      <c r="Q137" s="440"/>
    </row>
    <row r="138" spans="9:17" ht="21.95" customHeight="1">
      <c r="M138" s="412"/>
      <c r="N138" s="440"/>
      <c r="O138" s="440"/>
      <c r="P138" s="440"/>
      <c r="Q138" s="440"/>
    </row>
    <row r="139" spans="9:17" ht="21.95" customHeight="1">
      <c r="M139" s="412"/>
      <c r="N139" s="440"/>
      <c r="O139" s="440"/>
      <c r="P139" s="733"/>
      <c r="Q139" s="440"/>
    </row>
    <row r="140" spans="9:17" ht="21.95" customHeight="1">
      <c r="I140" s="745"/>
      <c r="J140" s="745"/>
      <c r="K140" s="746"/>
      <c r="L140" s="733"/>
      <c r="M140" s="733"/>
      <c r="N140" s="747"/>
      <c r="O140" s="733"/>
      <c r="P140" s="747"/>
      <c r="Q140" s="440"/>
    </row>
    <row r="141" spans="9:17" ht="21.95" customHeight="1">
      <c r="I141" s="745"/>
      <c r="J141" s="745"/>
      <c r="K141" s="576"/>
      <c r="L141" s="733"/>
      <c r="M141" s="733"/>
      <c r="N141" s="747"/>
      <c r="O141" s="733"/>
      <c r="P141" s="747"/>
      <c r="Q141" s="440"/>
    </row>
    <row r="142" spans="9:17" ht="21.95" customHeight="1">
      <c r="I142" s="745"/>
      <c r="J142" s="745"/>
      <c r="K142" s="576"/>
      <c r="L142" s="733"/>
      <c r="M142" s="412"/>
      <c r="N142" s="747"/>
      <c r="O142" s="733"/>
      <c r="P142" s="747"/>
      <c r="Q142" s="440"/>
    </row>
    <row r="143" spans="9:17" ht="21.95" customHeight="1">
      <c r="I143" s="745"/>
      <c r="J143" s="745"/>
      <c r="K143" s="576"/>
      <c r="L143" s="733"/>
      <c r="M143" s="733"/>
      <c r="N143" s="747"/>
      <c r="O143" s="733"/>
      <c r="P143" s="747"/>
      <c r="Q143" s="440"/>
    </row>
    <row r="144" spans="9:17" ht="21.95" customHeight="1">
      <c r="I144" s="745"/>
      <c r="J144" s="745"/>
      <c r="K144" s="576"/>
      <c r="L144" s="733"/>
      <c r="M144" s="733"/>
      <c r="N144" s="747"/>
      <c r="O144" s="733"/>
      <c r="P144" s="747"/>
      <c r="Q144" s="440"/>
    </row>
    <row r="145" spans="9:17" ht="21.95" customHeight="1">
      <c r="I145" s="745"/>
      <c r="J145" s="745"/>
      <c r="K145" s="746"/>
      <c r="L145" s="733"/>
      <c r="M145" s="733"/>
      <c r="N145" s="747"/>
      <c r="O145" s="733"/>
      <c r="P145" s="747"/>
      <c r="Q145" s="440"/>
    </row>
    <row r="146" spans="9:17" ht="21.95" customHeight="1">
      <c r="I146" s="745"/>
      <c r="J146" s="745"/>
      <c r="K146" s="576"/>
      <c r="L146" s="733"/>
      <c r="M146" s="733"/>
      <c r="N146" s="747"/>
      <c r="O146" s="733"/>
      <c r="P146" s="747"/>
      <c r="Q146" s="440"/>
    </row>
    <row r="147" spans="9:17" ht="21.95" customHeight="1">
      <c r="I147" s="745"/>
      <c r="J147" s="745"/>
      <c r="K147" s="576"/>
      <c r="L147" s="733"/>
      <c r="M147" s="733"/>
      <c r="N147" s="747"/>
      <c r="O147" s="733"/>
      <c r="P147" s="747"/>
      <c r="Q147" s="440"/>
    </row>
    <row r="148" spans="9:17" ht="21.95" customHeight="1">
      <c r="I148" s="733"/>
      <c r="J148" s="733"/>
      <c r="K148" s="747"/>
      <c r="L148" s="733"/>
      <c r="M148" s="733"/>
      <c r="N148" s="747"/>
      <c r="O148" s="733"/>
      <c r="P148" s="747"/>
      <c r="Q148" s="440"/>
    </row>
    <row r="149" spans="9:17" ht="21.95" customHeight="1">
      <c r="I149" s="745"/>
      <c r="J149" s="745"/>
      <c r="K149" s="576"/>
      <c r="L149" s="733"/>
      <c r="M149" s="733"/>
      <c r="N149" s="747"/>
      <c r="O149" s="733"/>
      <c r="P149" s="747"/>
      <c r="Q149" s="440"/>
    </row>
    <row r="150" spans="9:17" ht="21.95" customHeight="1">
      <c r="I150" s="745"/>
      <c r="J150" s="745"/>
      <c r="K150" s="748"/>
      <c r="L150" s="576"/>
      <c r="M150" s="578"/>
      <c r="N150" s="747"/>
      <c r="O150" s="733"/>
      <c r="P150" s="747"/>
      <c r="Q150" s="440"/>
    </row>
    <row r="151" spans="9:17" ht="21.95" customHeight="1">
      <c r="I151" s="745"/>
      <c r="J151" s="745"/>
      <c r="K151" s="576"/>
      <c r="L151" s="733"/>
      <c r="M151" s="733"/>
      <c r="N151" s="747"/>
      <c r="O151" s="733"/>
      <c r="P151" s="747"/>
      <c r="Q151" s="440"/>
    </row>
    <row r="152" spans="9:17" ht="21.95" customHeight="1">
      <c r="I152" s="745"/>
      <c r="J152" s="745"/>
      <c r="K152" s="576"/>
      <c r="L152" s="733"/>
      <c r="M152" s="733"/>
      <c r="N152" s="747"/>
      <c r="O152" s="733"/>
      <c r="P152" s="747"/>
      <c r="Q152" s="440"/>
    </row>
    <row r="153" spans="9:17" ht="21.95" customHeight="1">
      <c r="I153" s="745"/>
      <c r="J153" s="745"/>
      <c r="K153" s="576"/>
      <c r="L153" s="733"/>
      <c r="M153" s="733"/>
      <c r="N153" s="747"/>
      <c r="O153" s="733"/>
      <c r="P153" s="747"/>
      <c r="Q153" s="440"/>
    </row>
    <row r="154" spans="9:17" ht="21.95" customHeight="1">
      <c r="I154" s="745"/>
      <c r="J154" s="745"/>
      <c r="K154" s="576"/>
      <c r="L154" s="733"/>
      <c r="M154" s="733"/>
      <c r="N154" s="747"/>
      <c r="O154" s="733"/>
      <c r="P154" s="747"/>
      <c r="Q154" s="440"/>
    </row>
    <row r="155" spans="9:17" ht="21.95" customHeight="1">
      <c r="I155" s="745"/>
      <c r="J155" s="745"/>
      <c r="K155" s="576"/>
      <c r="L155" s="733"/>
      <c r="M155" s="733"/>
      <c r="N155" s="747"/>
      <c r="O155" s="733"/>
      <c r="P155" s="747"/>
      <c r="Q155" s="440"/>
    </row>
    <row r="156" spans="9:17" ht="21.95" customHeight="1">
      <c r="I156" s="745"/>
      <c r="J156" s="745"/>
      <c r="K156" s="576"/>
      <c r="L156" s="733"/>
      <c r="M156" s="733"/>
      <c r="N156" s="747"/>
      <c r="O156" s="733"/>
      <c r="P156" s="747"/>
      <c r="Q156" s="440"/>
    </row>
    <row r="157" spans="9:17" ht="21.95" customHeight="1">
      <c r="I157" s="733"/>
      <c r="J157" s="733"/>
      <c r="K157" s="747"/>
      <c r="L157" s="733"/>
      <c r="M157" s="733"/>
      <c r="N157" s="747"/>
      <c r="O157" s="733"/>
      <c r="P157" s="747"/>
      <c r="Q157" s="440"/>
    </row>
    <row r="158" spans="9:17" ht="21.95" customHeight="1">
      <c r="I158" s="745"/>
      <c r="J158" s="745"/>
      <c r="K158" s="577"/>
      <c r="L158" s="733"/>
      <c r="M158" s="733"/>
      <c r="N158" s="747"/>
      <c r="O158" s="733"/>
      <c r="P158" s="747"/>
      <c r="Q158" s="440"/>
    </row>
    <row r="159" spans="9:17" ht="21.95" customHeight="1">
      <c r="I159" s="745"/>
      <c r="J159" s="745"/>
      <c r="K159" s="747"/>
      <c r="L159" s="733"/>
      <c r="M159" s="733"/>
      <c r="N159" s="747"/>
      <c r="O159" s="733"/>
      <c r="P159" s="747"/>
      <c r="Q159" s="440"/>
    </row>
    <row r="160" spans="9:17" ht="21.95" customHeight="1">
      <c r="I160" s="745"/>
      <c r="J160" s="745"/>
      <c r="K160" s="577"/>
      <c r="L160" s="577"/>
      <c r="M160" s="578"/>
      <c r="N160" s="747"/>
      <c r="O160" s="733"/>
      <c r="P160" s="747"/>
      <c r="Q160" s="440"/>
    </row>
    <row r="161" spans="9:17" ht="21.95" customHeight="1">
      <c r="I161" s="745"/>
      <c r="J161" s="745"/>
      <c r="K161" s="734"/>
      <c r="L161" s="733"/>
      <c r="M161" s="733"/>
      <c r="N161" s="747"/>
      <c r="O161" s="733"/>
      <c r="P161" s="747"/>
      <c r="Q161" s="440"/>
    </row>
    <row r="162" spans="9:17" ht="21.95" customHeight="1">
      <c r="I162" s="745"/>
      <c r="J162" s="745"/>
      <c r="K162" s="577"/>
      <c r="L162" s="733"/>
      <c r="M162" s="733"/>
      <c r="N162" s="747"/>
      <c r="O162" s="733"/>
      <c r="P162" s="747"/>
      <c r="Q162" s="440"/>
    </row>
    <row r="163" spans="9:17" ht="21.95" customHeight="1">
      <c r="I163" s="745"/>
      <c r="J163" s="745"/>
      <c r="K163" s="577"/>
      <c r="L163" s="733"/>
      <c r="M163" s="733"/>
      <c r="N163" s="747"/>
      <c r="O163" s="733"/>
      <c r="P163" s="747"/>
      <c r="Q163" s="440"/>
    </row>
    <row r="164" spans="9:17" ht="21.95" customHeight="1">
      <c r="M164" s="412"/>
      <c r="N164" s="440"/>
      <c r="O164" s="440"/>
      <c r="P164" s="440"/>
      <c r="Q164" s="440"/>
    </row>
  </sheetData>
  <mergeCells count="18">
    <mergeCell ref="A108:A109"/>
    <mergeCell ref="A111:B111"/>
    <mergeCell ref="A112:B112"/>
    <mergeCell ref="A113:B113"/>
    <mergeCell ref="A115:A123"/>
    <mergeCell ref="A106:A107"/>
    <mergeCell ref="A3:A7"/>
    <mergeCell ref="A8:B8"/>
    <mergeCell ref="A9:B9"/>
    <mergeCell ref="A58:B58"/>
    <mergeCell ref="A68:A72"/>
    <mergeCell ref="A77:A80"/>
    <mergeCell ref="A81:A87"/>
    <mergeCell ref="A88:A90"/>
    <mergeCell ref="A91:A93"/>
    <mergeCell ref="A94:A101"/>
    <mergeCell ref="A102:A104"/>
    <mergeCell ref="A73:A76"/>
  </mergeCells>
  <phoneticPr fontId="15" type="noConversion"/>
  <pageMargins left="0.25" right="0.25" top="0.75" bottom="0.75" header="0.3" footer="0.3"/>
  <pageSetup paperSize="9" scale="5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2019년 복지관 세입,세출총괄표</vt:lpstr>
      <vt:lpstr>2019년 복지관 세입</vt:lpstr>
      <vt:lpstr>2019년 복지관 세출</vt:lpstr>
      <vt:lpstr>상대계정 (최종-전입이월포함)</vt:lpstr>
      <vt:lpstr>'2019년 복지관 세입'!Print_Area</vt:lpstr>
      <vt:lpstr>'2019년 복지관 세출'!Print_Area</vt:lpstr>
      <vt:lpstr>'상대계정 (최종-전입이월포함)'!Print_Area</vt:lpstr>
      <vt:lpstr>'2019년 복지관 세입'!Print_Titles</vt:lpstr>
      <vt:lpstr>'2019년 복지관 세출'!Print_Titles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PC-11</dc:creator>
  <cp:lastModifiedBy>김혜연</cp:lastModifiedBy>
  <cp:lastPrinted>2019-03-08T06:09:55Z</cp:lastPrinted>
  <dcterms:created xsi:type="dcterms:W3CDTF">2017-01-04T08:10:53Z</dcterms:created>
  <dcterms:modified xsi:type="dcterms:W3CDTF">2019-03-28T00:15:23Z</dcterms:modified>
</cp:coreProperties>
</file>