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강태린나스\강태린\학습지원센터\2020\"/>
    </mc:Choice>
  </mc:AlternateContent>
  <bookViews>
    <workbookView xWindow="0" yWindow="0" windowWidth="28800" windowHeight="12390" activeTab="1"/>
  </bookViews>
  <sheets>
    <sheet name="세입.세출 총괄표" sheetId="9" r:id="rId1"/>
    <sheet name="2020년 세입세출" sheetId="10" r:id="rId2"/>
  </sheets>
  <definedNames>
    <definedName name="_xlnm.Print_Area" localSheetId="1">'2020년 세입세출'!$A$1:$R$214</definedName>
    <definedName name="_xlnm.Print_Area" localSheetId="0">'세입.세출 총괄표'!$A$1:$N$50</definedName>
  </definedNames>
  <calcPr calcId="152511"/>
</workbook>
</file>

<file path=xl/calcChain.xml><?xml version="1.0" encoding="utf-8"?>
<calcChain xmlns="http://schemas.openxmlformats.org/spreadsheetml/2006/main">
  <c r="R122" i="10" l="1"/>
  <c r="R121" i="10"/>
  <c r="R84" i="10"/>
  <c r="R203" i="10" l="1"/>
  <c r="R202" i="10"/>
  <c r="R200" i="10"/>
  <c r="R199" i="10"/>
  <c r="R198" i="10" s="1"/>
  <c r="R205" i="10" s="1"/>
  <c r="R201" i="10" l="1"/>
  <c r="R206" i="10" s="1"/>
  <c r="R192" i="10"/>
  <c r="R188" i="10"/>
  <c r="R186" i="10"/>
  <c r="R183" i="10"/>
  <c r="R130" i="10" l="1"/>
  <c r="R60" i="10" l="1"/>
  <c r="E24" i="10" l="1"/>
  <c r="R43" i="10"/>
  <c r="R42" i="10"/>
  <c r="R41" i="10"/>
  <c r="R53" i="10" s="1"/>
  <c r="R40" i="10"/>
  <c r="R39" i="10"/>
  <c r="R38" i="10"/>
  <c r="R37" i="10"/>
  <c r="R36" i="10"/>
  <c r="R35" i="10"/>
  <c r="R34" i="10"/>
  <c r="R33" i="10"/>
  <c r="R32" i="10"/>
  <c r="R31" i="10"/>
  <c r="R30" i="10"/>
  <c r="R44" i="10"/>
  <c r="R45" i="10"/>
  <c r="R46" i="10"/>
  <c r="R47" i="10"/>
  <c r="R48" i="10"/>
  <c r="K50" i="9" l="1"/>
  <c r="K49" i="9"/>
  <c r="K26" i="9"/>
  <c r="K24" i="9"/>
  <c r="K20" i="9"/>
  <c r="K18" i="9"/>
  <c r="K16" i="9"/>
  <c r="K14" i="9"/>
  <c r="K12" i="9"/>
  <c r="D18" i="9"/>
  <c r="D16" i="9"/>
  <c r="D14" i="9"/>
  <c r="E7" i="10"/>
  <c r="D10" i="9" s="1"/>
  <c r="R134" i="10" l="1"/>
  <c r="F27" i="10" l="1"/>
  <c r="R152" i="10"/>
  <c r="R151" i="10"/>
  <c r="R191" i="10" l="1"/>
  <c r="R184" i="10"/>
  <c r="E95" i="10"/>
  <c r="E145" i="10" l="1"/>
  <c r="E146" i="10"/>
  <c r="K44" i="9" l="1"/>
  <c r="R165" i="10"/>
  <c r="R164" i="10"/>
  <c r="R166" i="10"/>
  <c r="R169" i="10"/>
  <c r="R163" i="10"/>
  <c r="R149" i="10"/>
  <c r="K22" i="9" l="1"/>
  <c r="R124" i="10" l="1"/>
  <c r="R133" i="10" l="1"/>
  <c r="R175" i="10" l="1"/>
  <c r="R150" i="10"/>
  <c r="R160" i="10" l="1"/>
  <c r="R161" i="10"/>
  <c r="F153" i="10" l="1"/>
  <c r="F147" i="10"/>
  <c r="E107" i="10"/>
  <c r="E108" i="10"/>
  <c r="E119" i="10"/>
  <c r="E120" i="10"/>
  <c r="K42" i="9" l="1"/>
  <c r="G147" i="10"/>
  <c r="H147" i="10" s="1"/>
  <c r="E196" i="10"/>
  <c r="F111" i="10"/>
  <c r="R107" i="10" l="1"/>
  <c r="R65" i="10" l="1"/>
  <c r="F213" i="10" l="1"/>
  <c r="F211" i="10"/>
  <c r="E209" i="10"/>
  <c r="E207" i="10" s="1"/>
  <c r="R208" i="10"/>
  <c r="E197" i="10"/>
  <c r="K46" i="9" s="1"/>
  <c r="K40" i="9" s="1"/>
  <c r="R194" i="10"/>
  <c r="R180" i="10"/>
  <c r="R138" i="10"/>
  <c r="R141" i="10" s="1"/>
  <c r="F138" i="10" s="1"/>
  <c r="R137" i="10"/>
  <c r="R132" i="10"/>
  <c r="R131" i="10"/>
  <c r="R129" i="10"/>
  <c r="R128" i="10"/>
  <c r="R101" i="10"/>
  <c r="R100" i="10"/>
  <c r="R99" i="10"/>
  <c r="R98" i="10"/>
  <c r="R97" i="10"/>
  <c r="F94" i="10"/>
  <c r="R73" i="10"/>
  <c r="R67" i="10"/>
  <c r="R66" i="10"/>
  <c r="R63" i="10"/>
  <c r="R62" i="10"/>
  <c r="R59" i="10"/>
  <c r="R58" i="10"/>
  <c r="R50" i="10"/>
  <c r="R49" i="10"/>
  <c r="R29" i="10"/>
  <c r="R28" i="10"/>
  <c r="R27" i="10"/>
  <c r="R26" i="10"/>
  <c r="E25" i="10"/>
  <c r="E22" i="10"/>
  <c r="F16" i="10"/>
  <c r="F14" i="10"/>
  <c r="F9" i="10"/>
  <c r="E6" i="10"/>
  <c r="E5" i="10"/>
  <c r="K10" i="9"/>
  <c r="R195" i="10" l="1"/>
  <c r="R146" i="10" s="1"/>
  <c r="R54" i="10"/>
  <c r="R135" i="10"/>
  <c r="F131" i="10" s="1"/>
  <c r="G13" i="10"/>
  <c r="H13" i="10" s="1"/>
  <c r="E16" i="9"/>
  <c r="G211" i="10"/>
  <c r="H211" i="10" s="1"/>
  <c r="L49" i="9"/>
  <c r="M49" i="9" s="1"/>
  <c r="N49" i="9" s="1"/>
  <c r="G15" i="10"/>
  <c r="H15" i="10" s="1"/>
  <c r="E18" i="9"/>
  <c r="F5" i="10"/>
  <c r="F7" i="10"/>
  <c r="E10" i="9" s="1"/>
  <c r="G213" i="10"/>
  <c r="H213" i="10" s="1"/>
  <c r="L50" i="9"/>
  <c r="M50" i="9" s="1"/>
  <c r="N50" i="9" s="1"/>
  <c r="F179" i="10"/>
  <c r="F97" i="10"/>
  <c r="R174" i="10"/>
  <c r="R145" i="10" s="1"/>
  <c r="F165" i="10"/>
  <c r="R140" i="10"/>
  <c r="R119" i="10" s="1"/>
  <c r="R74" i="10"/>
  <c r="F74" i="10" s="1"/>
  <c r="E117" i="10"/>
  <c r="E115" i="10" s="1"/>
  <c r="E20" i="10" s="1"/>
  <c r="E23" i="10"/>
  <c r="F198" i="10"/>
  <c r="E118" i="10"/>
  <c r="E116" i="10" s="1"/>
  <c r="F209" i="10"/>
  <c r="F207" i="10" s="1"/>
  <c r="R103" i="10"/>
  <c r="R95" i="10" s="1"/>
  <c r="F110" i="10"/>
  <c r="G9" i="10"/>
  <c r="H9" i="10" s="1"/>
  <c r="G209" i="10"/>
  <c r="K48" i="9"/>
  <c r="K30" i="9"/>
  <c r="M28" i="9"/>
  <c r="L48" i="9" l="1"/>
  <c r="M48" i="9" s="1"/>
  <c r="N48" i="9" s="1"/>
  <c r="G96" i="10"/>
  <c r="H96" i="10" s="1"/>
  <c r="L24" i="9"/>
  <c r="G72" i="10"/>
  <c r="H72" i="10" s="1"/>
  <c r="L20" i="9"/>
  <c r="K8" i="9"/>
  <c r="K6" i="9" s="1"/>
  <c r="F113" i="10"/>
  <c r="G111" i="10" s="1"/>
  <c r="H111" i="10" s="1"/>
  <c r="F188" i="10"/>
  <c r="F146" i="10" s="1"/>
  <c r="R120" i="10"/>
  <c r="F162" i="10"/>
  <c r="R197" i="10"/>
  <c r="F201" i="10"/>
  <c r="F197" i="10" s="1"/>
  <c r="R108" i="10"/>
  <c r="G109" i="10"/>
  <c r="H109" i="10" s="1"/>
  <c r="F196" i="10"/>
  <c r="F136" i="10"/>
  <c r="R196" i="10"/>
  <c r="F99" i="10"/>
  <c r="L26" i="9" s="1"/>
  <c r="M26" i="9" s="1"/>
  <c r="N26" i="9" s="1"/>
  <c r="F121" i="10"/>
  <c r="E21" i="10"/>
  <c r="F120" i="10"/>
  <c r="H209" i="10"/>
  <c r="G207" i="10"/>
  <c r="H207" i="10" s="1"/>
  <c r="F107" i="10"/>
  <c r="D6" i="9"/>
  <c r="F18" i="9"/>
  <c r="G18" i="9" s="1"/>
  <c r="F145" i="10" l="1"/>
  <c r="G162" i="10"/>
  <c r="L46" i="9"/>
  <c r="M46" i="9" s="1"/>
  <c r="N46" i="9" s="1"/>
  <c r="L44" i="9"/>
  <c r="M44" i="9" s="1"/>
  <c r="N44" i="9" s="1"/>
  <c r="F95" i="10"/>
  <c r="L22" i="9"/>
  <c r="M24" i="9"/>
  <c r="N24" i="9" s="1"/>
  <c r="F108" i="10"/>
  <c r="G107" i="10" s="1"/>
  <c r="H107" i="10" s="1"/>
  <c r="G179" i="10"/>
  <c r="H179" i="10" s="1"/>
  <c r="G121" i="10"/>
  <c r="H121" i="10" s="1"/>
  <c r="H162" i="10"/>
  <c r="G136" i="10"/>
  <c r="H136" i="10" s="1"/>
  <c r="G198" i="10"/>
  <c r="H198" i="10" s="1"/>
  <c r="F119" i="10"/>
  <c r="L42" i="9" s="1"/>
  <c r="G98" i="10"/>
  <c r="H98" i="10" s="1"/>
  <c r="G196" i="10"/>
  <c r="H196" i="10" s="1"/>
  <c r="R117" i="10"/>
  <c r="R115" i="10" s="1"/>
  <c r="R118" i="10"/>
  <c r="R116" i="10" s="1"/>
  <c r="F118" i="10"/>
  <c r="F116" i="10" s="1"/>
  <c r="G94" i="10"/>
  <c r="H94" i="10" s="1"/>
  <c r="G145" i="10"/>
  <c r="H145" i="10" s="1"/>
  <c r="M38" i="9"/>
  <c r="N38" i="9" s="1"/>
  <c r="M36" i="9"/>
  <c r="N36" i="9" s="1"/>
  <c r="L30" i="9"/>
  <c r="M20" i="9"/>
  <c r="N20" i="9" s="1"/>
  <c r="F16" i="9"/>
  <c r="G16" i="9" s="1"/>
  <c r="F10" i="9"/>
  <c r="G10" i="9" s="1"/>
  <c r="L40" i="9" l="1"/>
  <c r="M40" i="9" s="1"/>
  <c r="N40" i="9" s="1"/>
  <c r="M42" i="9"/>
  <c r="N42" i="9" s="1"/>
  <c r="M22" i="9"/>
  <c r="N22" i="9" s="1"/>
  <c r="G119" i="10"/>
  <c r="H119" i="10" s="1"/>
  <c r="F117" i="10"/>
  <c r="G117" i="10" s="1"/>
  <c r="H117" i="10" s="1"/>
  <c r="M30" i="9"/>
  <c r="N30" i="9" s="1"/>
  <c r="F115" i="10" l="1"/>
  <c r="G115" i="10" s="1"/>
  <c r="H115" i="10" s="1"/>
  <c r="R71" i="10"/>
  <c r="J76" i="10" s="1"/>
  <c r="R76" i="10" s="1"/>
  <c r="F26" i="10"/>
  <c r="L12" i="9" l="1"/>
  <c r="M12" i="9" s="1"/>
  <c r="N12" i="9" s="1"/>
  <c r="G26" i="10"/>
  <c r="H26" i="10" s="1"/>
  <c r="F59" i="10" l="1"/>
  <c r="J88" i="10"/>
  <c r="R88" i="10" s="1"/>
  <c r="R78" i="10"/>
  <c r="F77" i="10" l="1"/>
  <c r="J89" i="10"/>
  <c r="R89" i="10" s="1"/>
  <c r="J90" i="10"/>
  <c r="R90" i="10" s="1"/>
  <c r="J91" i="10"/>
  <c r="R91" i="10" s="1"/>
  <c r="R93" i="10" l="1"/>
  <c r="R25" i="10" s="1"/>
  <c r="F84" i="10" l="1"/>
  <c r="F25" i="10" l="1"/>
  <c r="F23" i="10" s="1"/>
  <c r="F21" i="10" s="1"/>
  <c r="R23" i="10"/>
  <c r="R21" i="10" s="1"/>
  <c r="R11" i="10" s="1"/>
  <c r="F12" i="10" s="1"/>
  <c r="E14" i="9" l="1"/>
  <c r="G11" i="10"/>
  <c r="H11" i="10" s="1"/>
  <c r="F6" i="10"/>
  <c r="G5" i="10" s="1"/>
  <c r="H5" i="10" s="1"/>
  <c r="R70" i="10"/>
  <c r="J75" i="10" s="1"/>
  <c r="F58" i="10" l="1"/>
  <c r="L14" i="9" s="1"/>
  <c r="M14" i="9" s="1"/>
  <c r="N14" i="9" s="1"/>
  <c r="E6" i="9"/>
  <c r="F14" i="9"/>
  <c r="R75" i="10"/>
  <c r="R77" i="10" s="1"/>
  <c r="J82" i="10"/>
  <c r="R82" i="10" s="1"/>
  <c r="G58" i="10" l="1"/>
  <c r="H58" i="10" s="1"/>
  <c r="G14" i="9"/>
  <c r="F6" i="9"/>
  <c r="G6" i="9" s="1"/>
  <c r="J83" i="10"/>
  <c r="R83" i="10" s="1"/>
  <c r="F75" i="10"/>
  <c r="L16" i="9" s="1"/>
  <c r="M16" i="9" l="1"/>
  <c r="N16" i="9" s="1"/>
  <c r="G75" i="10"/>
  <c r="H75" i="10" s="1"/>
  <c r="J86" i="10"/>
  <c r="R86" i="10" s="1"/>
  <c r="J85" i="10"/>
  <c r="R85" i="10" s="1"/>
  <c r="R92" i="10" l="1"/>
  <c r="F82" i="10" s="1"/>
  <c r="L18" i="9" s="1"/>
  <c r="M18" i="9" l="1"/>
  <c r="N18" i="9" s="1"/>
  <c r="L10" i="9"/>
  <c r="R24" i="10"/>
  <c r="R22" i="10" s="1"/>
  <c r="R20" i="10" s="1"/>
  <c r="G82" i="10"/>
  <c r="H82" i="10" s="1"/>
  <c r="F24" i="10"/>
  <c r="M10" i="9" l="1"/>
  <c r="N10" i="9" s="1"/>
  <c r="L8" i="9"/>
  <c r="G24" i="10"/>
  <c r="H24" i="10" s="1"/>
  <c r="F22" i="10"/>
  <c r="L6" i="9" l="1"/>
  <c r="M6" i="9" s="1"/>
  <c r="N6" i="9" s="1"/>
  <c r="M8" i="9"/>
  <c r="N8" i="9" s="1"/>
  <c r="F20" i="10"/>
  <c r="G20" i="10" s="1"/>
  <c r="H20" i="10" s="1"/>
  <c r="G22" i="10"/>
  <c r="H22" i="10" s="1"/>
</calcChain>
</file>

<file path=xl/sharedStrings.xml><?xml version="1.0" encoding="utf-8"?>
<sst xmlns="http://schemas.openxmlformats.org/spreadsheetml/2006/main" count="676" uniqueCount="275">
  <si>
    <t>(단위 : 천원)</t>
    <phoneticPr fontId="6" type="noConversion"/>
  </si>
  <si>
    <t>세목</t>
    <phoneticPr fontId="6" type="noConversion"/>
  </si>
  <si>
    <t>금액</t>
    <phoneticPr fontId="6" type="noConversion"/>
  </si>
  <si>
    <t>=</t>
    <phoneticPr fontId="6" type="noConversion"/>
  </si>
  <si>
    <t>=</t>
    <phoneticPr fontId="3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</si>
  <si>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</si>
  <si>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</si>
  <si>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</si>
  <si>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</si>
  <si>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계</t>
    <phoneticPr fontId="3" type="noConversion"/>
  </si>
  <si>
    <t>학습지원대체자료서비스</t>
    <phoneticPr fontId="3" type="noConversion"/>
  </si>
  <si>
    <t>공공요금</t>
    <phoneticPr fontId="3" type="noConversion"/>
  </si>
  <si>
    <t>*</t>
    <phoneticPr fontId="3" type="noConversion"/>
  </si>
  <si>
    <t>회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</si>
  <si>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</si>
  <si>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</si>
  <si>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</si>
  <si>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</si>
  <si>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</si>
  <si>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</si>
  <si>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</si>
  <si>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</si>
  <si>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</si>
  <si>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</si>
  <si>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</si>
  <si>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</si>
  <si>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</si>
  <si>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</si>
  <si>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</si>
  <si>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</si>
  <si>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</si>
  <si>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</si>
  <si>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</si>
  <si>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</si>
  <si>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</si>
  <si>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</si>
  <si>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</si>
  <si>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</si>
  <si>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</si>
  <si>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</si>
  <si>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</si>
  <si>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</si>
  <si>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</si>
  <si>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</si>
  <si>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재산조성비</t>
    </r>
    <phoneticPr fontId="6" type="noConversion"/>
  </si>
  <si>
    <r>
      <rPr>
        <sz val="9"/>
        <rFont val="돋움체"/>
        <family val="3"/>
        <charset val="129"/>
      </rPr>
      <t>시설비</t>
    </r>
    <phoneticPr fontId="6" type="noConversion"/>
  </si>
  <si>
    <r>
      <rPr>
        <sz val="9"/>
        <rFont val="돋움체"/>
        <family val="3"/>
        <charset val="129"/>
      </rPr>
      <t>자산취득비</t>
    </r>
    <phoneticPr fontId="6" type="noConversion"/>
  </si>
  <si>
    <r>
      <rPr>
        <sz val="9"/>
        <rFont val="돋움체"/>
        <family val="3"/>
        <charset val="129"/>
      </rPr>
      <t>시설장비
유지보수비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</si>
  <si>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</si>
  <si>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</si>
  <si>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</si>
  <si>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</si>
  <si>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</si>
  <si>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</si>
  <si>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>월</t>
    <phoneticPr fontId="3" type="noConversion"/>
  </si>
  <si>
    <t>명</t>
    <phoneticPr fontId="3" type="noConversion"/>
  </si>
  <si>
    <t>&lt;세입&gt;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</si>
  <si>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</si>
  <si>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</si>
  <si>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</si>
  <si>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</si>
  <si>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</si>
  <si>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증감</t>
    <phoneticPr fontId="6" type="noConversion"/>
  </si>
  <si>
    <t>산출내역</t>
    <phoneticPr fontId="6" type="noConversion"/>
  </si>
  <si>
    <t>금액</t>
    <phoneticPr fontId="6" type="noConversion"/>
  </si>
  <si>
    <t>비율(%)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</si>
  <si>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</si>
  <si>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</si>
  <si>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</si>
  <si>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</si>
  <si>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</si>
  <si>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</si>
  <si>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</si>
  <si>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</si>
  <si>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</si>
  <si>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</si>
  <si>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</si>
  <si>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</si>
  <si>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</si>
  <si>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</si>
  <si>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</si>
  <si>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</si>
  <si>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증감</t>
    <phoneticPr fontId="6" type="noConversion"/>
  </si>
  <si>
    <t>산출내역</t>
    <phoneticPr fontId="6" type="noConversion"/>
  </si>
  <si>
    <t>비율(%)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</si>
  <si>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</si>
  <si>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</si>
  <si>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</si>
  <si>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</si>
  <si>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>*</t>
    <phoneticPr fontId="6" type="noConversion"/>
  </si>
  <si>
    <t>명</t>
    <phoneticPr fontId="6" type="noConversion"/>
  </si>
  <si>
    <t>*</t>
    <phoneticPr fontId="6" type="noConversion"/>
  </si>
  <si>
    <t>월</t>
    <phoneticPr fontId="6" type="noConversion"/>
  </si>
  <si>
    <t>=</t>
    <phoneticPr fontId="6" type="noConversion"/>
  </si>
  <si>
    <t>명</t>
    <phoneticPr fontId="6" type="noConversion"/>
  </si>
  <si>
    <t>월</t>
    <phoneticPr fontId="6" type="noConversion"/>
  </si>
  <si>
    <t>월</t>
    <phoneticPr fontId="3" type="noConversion"/>
  </si>
  <si>
    <t>=</t>
    <phoneticPr fontId="3" type="noConversion"/>
  </si>
  <si>
    <t xml:space="preserve"> </t>
    <phoneticPr fontId="3" type="noConversion"/>
  </si>
  <si>
    <t>회</t>
    <phoneticPr fontId="3" type="noConversion"/>
  </si>
  <si>
    <t>소계</t>
    <phoneticPr fontId="6" type="noConversion"/>
  </si>
  <si>
    <t>&lt;세출&gt;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</si>
  <si>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</si>
  <si>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</si>
  <si>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</si>
  <si>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</si>
  <si>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</si>
  <si>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증감</t>
    <phoneticPr fontId="6" type="noConversion"/>
  </si>
  <si>
    <t>산출내역</t>
    <phoneticPr fontId="6" type="noConversion"/>
  </si>
  <si>
    <t>금액</t>
    <phoneticPr fontId="6" type="noConversion"/>
  </si>
  <si>
    <t>비율(%)</t>
    <phoneticPr fontId="6" type="noConversion"/>
  </si>
  <si>
    <t>제수당</t>
    <phoneticPr fontId="6" type="noConversion"/>
  </si>
  <si>
    <t xml:space="preserve"> 0 가족수당</t>
    <phoneticPr fontId="6" type="noConversion"/>
  </si>
  <si>
    <t>=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</si>
  <si>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</si>
  <si>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</si>
  <si>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</si>
  <si>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</si>
  <si>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</si>
  <si>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</si>
  <si>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</si>
  <si>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</si>
  <si>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</si>
  <si>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직원선물비</t>
    <phoneticPr fontId="3" type="noConversion"/>
  </si>
  <si>
    <t>소계</t>
    <phoneticPr fontId="6" type="noConversion"/>
  </si>
  <si>
    <t>퇴직     적립금</t>
    <phoneticPr fontId="6" type="noConversion"/>
  </si>
  <si>
    <t xml:space="preserve"> 0 퇴직적립금</t>
    <phoneticPr fontId="6" type="noConversion"/>
  </si>
  <si>
    <t>*</t>
    <phoneticPr fontId="6" type="noConversion"/>
  </si>
  <si>
    <t>1/12</t>
    <phoneticPr fontId="6" type="noConversion"/>
  </si>
  <si>
    <t>=</t>
    <phoneticPr fontId="6" type="noConversion"/>
  </si>
  <si>
    <t>소계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</si>
  <si>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</si>
  <si>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</si>
  <si>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</si>
  <si>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</si>
  <si>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>*</t>
    <phoneticPr fontId="3" type="noConversion"/>
  </si>
  <si>
    <t>=</t>
    <phoneticPr fontId="3" type="noConversion"/>
  </si>
  <si>
    <t xml:space="preserve"> 0 국민연금부담금</t>
    <phoneticPr fontId="6" type="noConversion"/>
  </si>
  <si>
    <t>4.5%</t>
    <phoneticPr fontId="3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</si>
  <si>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</si>
  <si>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</si>
  <si>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</si>
  <si>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</si>
  <si>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</si>
  <si>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회</t>
    <phoneticPr fontId="6" type="noConversion"/>
  </si>
  <si>
    <t>계</t>
    <phoneticPr fontId="6" type="noConversion"/>
  </si>
  <si>
    <t>수용비및       수수료</t>
    <phoneticPr fontId="3" type="noConversion"/>
  </si>
  <si>
    <t xml:space="preserve"> 0 사무용품구입비</t>
    <phoneticPr fontId="6" type="noConversion"/>
  </si>
  <si>
    <t xml:space="preserve"> 0 인쇄비 </t>
    <phoneticPr fontId="3" type="noConversion"/>
  </si>
  <si>
    <t>회</t>
    <phoneticPr fontId="3" type="noConversion"/>
  </si>
  <si>
    <t xml:space="preserve"> 0 집기 및 소모품구입비</t>
    <phoneticPr fontId="3" type="noConversion"/>
  </si>
  <si>
    <t>월</t>
    <phoneticPr fontId="3" type="noConversion"/>
  </si>
  <si>
    <t>월</t>
    <phoneticPr fontId="6" type="noConversion"/>
  </si>
  <si>
    <t>계</t>
    <phoneticPr fontId="3" type="noConversion"/>
  </si>
  <si>
    <t>재산
조성비</t>
    <phoneticPr fontId="6" type="noConversion"/>
  </si>
  <si>
    <t>시설비</t>
    <phoneticPr fontId="6" type="noConversion"/>
  </si>
  <si>
    <t>자산     취득비</t>
    <phoneticPr fontId="6" type="noConversion"/>
  </si>
  <si>
    <t>시설장비
유지     보수비</t>
    <phoneticPr fontId="6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</si>
  <si>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</si>
  <si>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</si>
  <si>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</si>
  <si>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</si>
  <si>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>편</t>
    <phoneticPr fontId="3" type="noConversion"/>
  </si>
  <si>
    <t xml:space="preserve"> 0 감수비</t>
    <phoneticPr fontId="6" type="noConversion"/>
  </si>
  <si>
    <t xml:space="preserve"> 0 더빙비</t>
    <phoneticPr fontId="6" type="noConversion"/>
  </si>
  <si>
    <t xml:space="preserve"> 0 사전제작회의비 - 강의실사용료</t>
    <phoneticPr fontId="3" type="noConversion"/>
  </si>
  <si>
    <t xml:space="preserve"> 0 사전제작회의비 - 간식비</t>
    <phoneticPr fontId="3" type="noConversion"/>
  </si>
  <si>
    <t>명</t>
    <phoneticPr fontId="3" type="noConversion"/>
  </si>
  <si>
    <t>화면해설 그림동화 오디오북 제작 및  보급사업</t>
    <phoneticPr fontId="3" type="noConversion"/>
  </si>
  <si>
    <t>권</t>
    <phoneticPr fontId="3" type="noConversion"/>
  </si>
  <si>
    <t xml:space="preserve"> 0 더빙비</t>
    <phoneticPr fontId="6" type="noConversion"/>
  </si>
  <si>
    <t>*</t>
    <phoneticPr fontId="3" type="noConversion"/>
  </si>
  <si>
    <t>권</t>
    <phoneticPr fontId="3" type="noConversion"/>
  </si>
  <si>
    <t>=</t>
    <phoneticPr fontId="6" type="noConversion"/>
  </si>
  <si>
    <t>계</t>
    <phoneticPr fontId="6" type="noConversion"/>
  </si>
  <si>
    <t>점자자료 제작 및 보급 사업</t>
    <phoneticPr fontId="6" type="noConversion"/>
  </si>
  <si>
    <t>*</t>
    <phoneticPr fontId="3" type="noConversion"/>
  </si>
  <si>
    <t>부</t>
    <phoneticPr fontId="3" type="noConversion"/>
  </si>
  <si>
    <t>월</t>
    <phoneticPr fontId="3" type="noConversion"/>
  </si>
  <si>
    <t>=</t>
    <phoneticPr fontId="3" type="noConversion"/>
  </si>
  <si>
    <t>계</t>
    <phoneticPr fontId="3" type="noConversion"/>
  </si>
  <si>
    <t>공직진출대비반          사업</t>
    <phoneticPr fontId="3" type="noConversion"/>
  </si>
  <si>
    <t>정보제공사업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</si>
  <si>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</si>
  <si>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</si>
  <si>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</si>
  <si>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</si>
  <si>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</si>
  <si>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0 정부보조반환금</t>
    <phoneticPr fontId="3" type="noConversion"/>
  </si>
  <si>
    <t>*</t>
    <phoneticPr fontId="3" type="noConversion"/>
  </si>
  <si>
    <t>부</t>
    <phoneticPr fontId="3" type="noConversion"/>
  </si>
  <si>
    <t xml:space="preserve"> 0 월간지 발간사업 </t>
    <phoneticPr fontId="3" type="noConversion"/>
  </si>
  <si>
    <t>ARS운영 사업비</t>
    <phoneticPr fontId="3" type="noConversion"/>
  </si>
  <si>
    <t xml:space="preserve"> 1. 점자프린터용 용지구입비</t>
    <phoneticPr fontId="3" type="noConversion"/>
  </si>
  <si>
    <t xml:space="preserve"> 0 사전제작회의비 - 식대</t>
    <phoneticPr fontId="3" type="noConversion"/>
  </si>
  <si>
    <t xml:space="preserve"> 0 복사기유지보수료</t>
    <phoneticPr fontId="6" type="noConversion"/>
  </si>
  <si>
    <t>톤</t>
    <phoneticPr fontId="3" type="noConversion"/>
  </si>
  <si>
    <t xml:space="preserve"> 2. 표지제작비</t>
    <phoneticPr fontId="3" type="noConversion"/>
  </si>
  <si>
    <t>0 정기간행물 발간사업</t>
    <phoneticPr fontId="3" type="noConversion"/>
  </si>
  <si>
    <t xml:space="preserve"> 1. 표지제작비</t>
    <phoneticPr fontId="3" type="noConversion"/>
  </si>
  <si>
    <t xml:space="preserve"> 3. 바인더링구입비</t>
    <phoneticPr fontId="3" type="noConversion"/>
  </si>
  <si>
    <t xml:space="preserve"> 2. 점자프린터용용지구입비</t>
    <phoneticPr fontId="3" type="noConversion"/>
  </si>
  <si>
    <t xml:space="preserve"> 3. 점자프린터기유지보수비</t>
    <phoneticPr fontId="3" type="noConversion"/>
  </si>
  <si>
    <t>0 학습도서 대체자료 제작보급사업</t>
    <phoneticPr fontId="3" type="noConversion"/>
  </si>
  <si>
    <t xml:space="preserve"> 1. 도서구입비</t>
    <phoneticPr fontId="3" type="noConversion"/>
  </si>
  <si>
    <t>회</t>
    <phoneticPr fontId="3" type="noConversion"/>
  </si>
  <si>
    <t>박스</t>
    <phoneticPr fontId="3" type="noConversion"/>
  </si>
  <si>
    <t>0 학습도서구입비</t>
    <phoneticPr fontId="3" type="noConversion"/>
  </si>
  <si>
    <t>3.5시간*13명*12월</t>
    <phoneticPr fontId="3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</si>
  <si>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</si>
  <si>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>0 시각장애인공무원 사후관리비</t>
    <phoneticPr fontId="3" type="noConversion"/>
  </si>
  <si>
    <t xml:space="preserve"> 1. 식사 및 간식비</t>
    <phoneticPr fontId="3" type="noConversion"/>
  </si>
  <si>
    <t xml:space="preserve"> 2. 후원기관 방문비</t>
    <phoneticPr fontId="3" type="noConversion"/>
  </si>
  <si>
    <t>명</t>
    <phoneticPr fontId="3" type="noConversion"/>
  </si>
  <si>
    <t>*</t>
    <phoneticPr fontId="3" type="noConversion"/>
  </si>
  <si>
    <t>회</t>
    <phoneticPr fontId="3" type="noConversion"/>
  </si>
  <si>
    <t>곳</t>
    <phoneticPr fontId="3" type="noConversion"/>
  </si>
  <si>
    <t>*</t>
    <phoneticPr fontId="3" type="noConversion"/>
  </si>
  <si>
    <t>48장</t>
    <phoneticPr fontId="3" type="noConversion"/>
  </si>
  <si>
    <t>*</t>
    <phoneticPr fontId="3" type="noConversion"/>
  </si>
  <si>
    <t>500편</t>
    <phoneticPr fontId="3" type="noConversion"/>
  </si>
  <si>
    <t xml:space="preserve"> 4. 라벨구입비</t>
    <phoneticPr fontId="3" type="noConversion"/>
  </si>
  <si>
    <t xml:space="preserve"> 3. 발송용봉투제작비</t>
    <phoneticPr fontId="3" type="noConversion"/>
  </si>
  <si>
    <t>목</t>
    <phoneticPr fontId="6" type="noConversion"/>
  </si>
  <si>
    <t xml:space="preserve"> 0 5급 14호봉</t>
    <phoneticPr fontId="6" type="noConversion"/>
  </si>
  <si>
    <t>2020년도 학습지원센터 세입, 세출예산서</t>
    <phoneticPr fontId="6" type="noConversion"/>
  </si>
  <si>
    <r>
      <t xml:space="preserve">2019
</t>
    </r>
    <r>
      <rPr>
        <b/>
        <sz val="9"/>
        <rFont val="돋움"/>
        <family val="3"/>
        <charset val="129"/>
      </rPr>
      <t>예산</t>
    </r>
    <r>
      <rPr>
        <b/>
        <sz val="9"/>
        <rFont val="+"/>
        <family val="2"/>
      </rPr>
      <t>(A)</t>
    </r>
    <phoneticPr fontId="3" type="noConversion"/>
  </si>
  <si>
    <r>
      <t xml:space="preserve">2019
</t>
    </r>
    <r>
      <rPr>
        <b/>
        <sz val="9"/>
        <rFont val="돋움"/>
        <family val="3"/>
        <charset val="129"/>
      </rPr>
      <t>예산</t>
    </r>
    <r>
      <rPr>
        <b/>
        <sz val="9"/>
        <rFont val="+"/>
        <family val="2"/>
      </rPr>
      <t>(A)</t>
    </r>
    <phoneticPr fontId="3" type="noConversion"/>
  </si>
  <si>
    <r>
      <t xml:space="preserve">2020
</t>
    </r>
    <r>
      <rPr>
        <b/>
        <sz val="9"/>
        <rFont val="돋움"/>
        <family val="3"/>
        <charset val="129"/>
      </rPr>
      <t>예산</t>
    </r>
    <r>
      <rPr>
        <b/>
        <sz val="9"/>
        <rFont val="+"/>
        <family val="2"/>
      </rPr>
      <t>(B)</t>
    </r>
    <phoneticPr fontId="3" type="noConversion"/>
  </si>
  <si>
    <t>19보조금(C)</t>
    <phoneticPr fontId="3" type="noConversion"/>
  </si>
  <si>
    <t>19자부담(D)</t>
    <phoneticPr fontId="3" type="noConversion"/>
  </si>
  <si>
    <t>20보조금(C)</t>
    <phoneticPr fontId="3" type="noConversion"/>
  </si>
  <si>
    <t>20자부담(D)</t>
    <phoneticPr fontId="3" type="noConversion"/>
  </si>
  <si>
    <t xml:space="preserve"> 0 3급 29호봉</t>
    <phoneticPr fontId="6" type="noConversion"/>
  </si>
  <si>
    <t xml:space="preserve"> 0 4급 19호봉</t>
    <phoneticPr fontId="6" type="noConversion"/>
  </si>
  <si>
    <t xml:space="preserve"> 0 4급 15호봉</t>
    <phoneticPr fontId="3" type="noConversion"/>
  </si>
  <si>
    <t xml:space="preserve"> 0 5급 11호봉</t>
    <phoneticPr fontId="3" type="noConversion"/>
  </si>
  <si>
    <t xml:space="preserve"> 0 5급 8호봉</t>
    <phoneticPr fontId="3" type="noConversion"/>
  </si>
  <si>
    <t xml:space="preserve"> 0 5급 6호봉</t>
    <phoneticPr fontId="3" type="noConversion"/>
  </si>
  <si>
    <t xml:space="preserve"> 0 5급 3호봉</t>
    <phoneticPr fontId="3" type="noConversion"/>
  </si>
  <si>
    <t xml:space="preserve"> 0 5급 1호봉</t>
    <phoneticPr fontId="3" type="noConversion"/>
  </si>
  <si>
    <t xml:space="preserve"> 0 6급 6호봉</t>
    <phoneticPr fontId="6" type="noConversion"/>
  </si>
  <si>
    <t xml:space="preserve"> 0 6급 4호봉</t>
    <phoneticPr fontId="3" type="noConversion"/>
  </si>
  <si>
    <t>3.5%</t>
    <phoneticPr fontId="3" type="noConversion"/>
  </si>
  <si>
    <t>1.65%</t>
    <phoneticPr fontId="3" type="noConversion"/>
  </si>
  <si>
    <t>0.7%</t>
    <phoneticPr fontId="3" type="noConversion"/>
  </si>
  <si>
    <t>1. 수학, 영어</t>
    <phoneticPr fontId="6" type="noConversion"/>
  </si>
  <si>
    <t>2. 수학, 영어 이외 과목</t>
    <phoneticPr fontId="6" type="noConversion"/>
  </si>
  <si>
    <t xml:space="preserve"> 0 편집비</t>
    <phoneticPr fontId="3" type="noConversion"/>
  </si>
  <si>
    <t xml:space="preserve"> 0 대본비 </t>
    <phoneticPr fontId="6" type="noConversion"/>
  </si>
  <si>
    <t>0 모의면접 심사의원비</t>
    <phoneticPr fontId="3" type="noConversion"/>
  </si>
  <si>
    <t>1. 직무사례집 우편 발송비</t>
    <phoneticPr fontId="3" type="noConversion"/>
  </si>
  <si>
    <t>*</t>
    <phoneticPr fontId="6" type="noConversion"/>
  </si>
  <si>
    <t>0 멘토링 프로그램비(식비)</t>
    <phoneticPr fontId="6" type="noConversion"/>
  </si>
  <si>
    <t>*</t>
    <phoneticPr fontId="6" type="noConversion"/>
  </si>
  <si>
    <t>명</t>
    <phoneticPr fontId="6" type="noConversion"/>
  </si>
  <si>
    <t>회</t>
    <phoneticPr fontId="6" type="noConversion"/>
  </si>
  <si>
    <t>=</t>
    <phoneticPr fontId="6" type="noConversion"/>
  </si>
  <si>
    <t>회</t>
    <phoneticPr fontId="3" type="noConversion"/>
  </si>
  <si>
    <t>*</t>
    <phoneticPr fontId="3" type="noConversion"/>
  </si>
  <si>
    <t>0 평가회의비</t>
    <phoneticPr fontId="3" type="noConversion"/>
  </si>
  <si>
    <t>0 낭독아르바이트</t>
    <phoneticPr fontId="3" type="noConversion"/>
  </si>
  <si>
    <t>1. 전문도서</t>
    <phoneticPr fontId="3" type="noConversion"/>
  </si>
  <si>
    <t>파일</t>
    <phoneticPr fontId="3" type="noConversion"/>
  </si>
  <si>
    <t>개월</t>
    <phoneticPr fontId="6" type="noConversion"/>
  </si>
  <si>
    <t>2. 비전문도서</t>
    <phoneticPr fontId="3" type="noConversion"/>
  </si>
  <si>
    <t>파일</t>
    <phoneticPr fontId="3" type="noConversion"/>
  </si>
  <si>
    <t>개월</t>
    <phoneticPr fontId="3" type="noConversion"/>
  </si>
  <si>
    <t>0 봉사단간담회비</t>
    <phoneticPr fontId="3" type="noConversion"/>
  </si>
  <si>
    <t>=</t>
    <phoneticPr fontId="3" type="noConversion"/>
  </si>
  <si>
    <t>1. 식대</t>
    <phoneticPr fontId="3" type="noConversion"/>
  </si>
  <si>
    <t>2. 현수막제작비</t>
    <phoneticPr fontId="3" type="noConversion"/>
  </si>
  <si>
    <t>점</t>
    <phoneticPr fontId="3" type="noConversion"/>
  </si>
  <si>
    <t>=</t>
    <phoneticPr fontId="3" type="noConversion"/>
  </si>
  <si>
    <t>2020 학습지원센터 예산서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</si>
</sst>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,#00"/>
    <numFmt numFmtId="177" formatCode="\(#,##0\)"/>
    <numFmt numFmtId="178" formatCode="\(#,##0"/>
    <numFmt numFmtId="179" formatCode="#,#00\)"/>
    <numFmt numFmtId="180" formatCode="\(#,#00"/>
    <numFmt numFmtId="181" formatCode="#,##0\)"/>
    <numFmt numFmtId="182" formatCode="#,##0_ "/>
    <numFmt numFmtId="183" formatCode="0_);[Red]\(0\)"/>
    <numFmt numFmtId="184" formatCode="0_);\(0\)"/>
    <numFmt numFmtId="185" formatCode="#,##0_);[Red]\(#,##0\)"/>
    <numFmt numFmtId="186" formatCode="_-* #,##0_-;\-* #,##0_-;_-* &quot;-&quot;??_-;_-@_-"/>
    <numFmt numFmtId="187" formatCode="#,##0_);\(#,##0\)"/>
    <numFmt numFmtId="188" formatCode="#,##0;[Red]#,##0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sz val="9"/>
      <name val="MingLiU"/>
      <family val="3"/>
      <charset val="136"/>
    </font>
    <font>
      <b/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  <xf numFmtId="9" fontId="1" fillId="0" borderId="0" applyFont="0" applyFill="0" applyBorder="0" applyAlignment="0" applyProtection="0">
      <alignment vertical="center"/>
    </xf>
  </cellStyleXfs>
  <cellXfs count="475">
    <xf numFmtId="0" fontId="0" fillId="0" borderId="0" xfId="0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9" fontId="15" fillId="0" borderId="0" xfId="0" applyNumberFormat="1" applyFont="1" applyAlignment="1">
      <alignment horizontal="right" vertical="center"/>
    </xf>
    <xf numFmtId="0" fontId="20" fillId="0" borderId="0" xfId="0" applyFont="1">
      <alignment vertical="center"/>
    </xf>
    <xf numFmtId="0" fontId="19" fillId="0" borderId="8" xfId="0" applyFont="1" applyBorder="1" applyAlignment="1">
      <alignment horizontal="center" vertical="center"/>
    </xf>
    <xf numFmtId="9" fontId="19" fillId="0" borderId="1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7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9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21" fillId="0" borderId="1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20" fillId="0" borderId="12" xfId="0" applyFont="1" applyBorder="1" applyAlignment="1"/>
    <xf numFmtId="0" fontId="20" fillId="0" borderId="14" xfId="0" applyFont="1" applyBorder="1" applyAlignment="1"/>
    <xf numFmtId="0" fontId="20" fillId="0" borderId="22" xfId="0" applyFont="1" applyBorder="1" applyAlignment="1"/>
    <xf numFmtId="0" fontId="21" fillId="0" borderId="19" xfId="0" applyFont="1" applyBorder="1" applyAlignment="1"/>
    <xf numFmtId="0" fontId="20" fillId="0" borderId="5" xfId="0" applyFont="1" applyBorder="1" applyAlignment="1"/>
    <xf numFmtId="0" fontId="20" fillId="0" borderId="9" xfId="0" applyFont="1" applyBorder="1" applyAlignment="1"/>
    <xf numFmtId="0" fontId="21" fillId="0" borderId="14" xfId="0" applyFont="1" applyBorder="1" applyAlignment="1"/>
    <xf numFmtId="0" fontId="21" fillId="0" borderId="23" xfId="0" applyFont="1" applyBorder="1" applyAlignment="1"/>
    <xf numFmtId="0" fontId="20" fillId="0" borderId="7" xfId="0" applyFont="1" applyBorder="1" applyAlignment="1"/>
    <xf numFmtId="0" fontId="20" fillId="0" borderId="21" xfId="0" applyFont="1" applyBorder="1" applyAlignment="1"/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right" vertical="center"/>
    </xf>
    <xf numFmtId="9" fontId="21" fillId="0" borderId="0" xfId="0" applyNumberFormat="1" applyFont="1" applyAlignment="1">
      <alignment horizontal="right" vertical="center"/>
    </xf>
    <xf numFmtId="0" fontId="21" fillId="0" borderId="23" xfId="0" applyFont="1" applyBorder="1" applyAlignment="1">
      <alignment horizontal="center" vertical="center"/>
    </xf>
    <xf numFmtId="0" fontId="21" fillId="0" borderId="12" xfId="0" applyFont="1" applyBorder="1" applyAlignment="1"/>
    <xf numFmtId="0" fontId="20" fillId="0" borderId="19" xfId="0" applyFont="1" applyBorder="1" applyAlignment="1"/>
    <xf numFmtId="9" fontId="0" fillId="0" borderId="0" xfId="0" applyNumberFormat="1">
      <alignment vertical="center"/>
    </xf>
    <xf numFmtId="0" fontId="20" fillId="0" borderId="1" xfId="0" applyFont="1" applyBorder="1">
      <alignment vertical="center"/>
    </xf>
    <xf numFmtId="0" fontId="20" fillId="0" borderId="14" xfId="0" applyFont="1" applyBorder="1">
      <alignment vertical="center"/>
    </xf>
    <xf numFmtId="0" fontId="20" fillId="0" borderId="0" xfId="0" applyFont="1" applyBorder="1" applyAlignment="1"/>
    <xf numFmtId="0" fontId="21" fillId="0" borderId="0" xfId="0" applyFont="1" applyBorder="1" applyAlignment="1"/>
    <xf numFmtId="0" fontId="21" fillId="0" borderId="0" xfId="0" applyFont="1" applyBorder="1" applyAlignment="1">
      <alignment horizontal="center" vertical="center"/>
    </xf>
    <xf numFmtId="41" fontId="21" fillId="0" borderId="0" xfId="2" applyNumberFormat="1" applyFont="1" applyBorder="1" applyAlignment="1">
      <alignment horizontal="right" vertical="center" wrapText="1"/>
    </xf>
    <xf numFmtId="41" fontId="21" fillId="0" borderId="0" xfId="2" applyFont="1" applyBorder="1" applyAlignment="1">
      <alignment horizontal="right" vertical="center" wrapText="1"/>
    </xf>
    <xf numFmtId="176" fontId="21" fillId="0" borderId="0" xfId="2" applyNumberFormat="1" applyFont="1" applyBorder="1" applyAlignment="1">
      <alignment horizontal="right" vertical="center"/>
    </xf>
    <xf numFmtId="9" fontId="21" fillId="0" borderId="0" xfId="0" applyNumberFormat="1" applyFont="1" applyBorder="1" applyAlignment="1">
      <alignment horizontal="right" vertical="center"/>
    </xf>
    <xf numFmtId="0" fontId="21" fillId="0" borderId="11" xfId="0" applyFont="1" applyBorder="1" applyAlignment="1">
      <alignment horizontal="center" vertical="center"/>
    </xf>
    <xf numFmtId="41" fontId="21" fillId="0" borderId="11" xfId="2" applyNumberFormat="1" applyFont="1" applyBorder="1" applyAlignment="1">
      <alignment horizontal="right" vertical="center" wrapText="1"/>
    </xf>
    <xf numFmtId="176" fontId="21" fillId="0" borderId="11" xfId="2" applyNumberFormat="1" applyFont="1" applyBorder="1" applyAlignment="1">
      <alignment horizontal="right" vertical="center"/>
    </xf>
    <xf numFmtId="0" fontId="21" fillId="0" borderId="11" xfId="0" applyFont="1" applyBorder="1" applyAlignment="1"/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1" fillId="0" borderId="3" xfId="0" applyFont="1" applyBorder="1" applyAlignment="1"/>
    <xf numFmtId="41" fontId="12" fillId="0" borderId="0" xfId="1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41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41" fontId="8" fillId="0" borderId="1" xfId="1" applyNumberFormat="1" applyFont="1" applyFill="1" applyBorder="1" applyAlignment="1">
      <alignment horizontal="center" vertical="center" wrapText="1"/>
    </xf>
    <xf numFmtId="41" fontId="7" fillId="0" borderId="11" xfId="0" applyNumberFormat="1" applyFont="1" applyFill="1" applyBorder="1" applyAlignment="1">
      <alignment vertical="center" wrapText="1"/>
    </xf>
    <xf numFmtId="41" fontId="7" fillId="0" borderId="11" xfId="2" applyNumberFormat="1" applyFont="1" applyFill="1" applyBorder="1" applyAlignment="1">
      <alignment vertical="center" wrapText="1"/>
    </xf>
    <xf numFmtId="41" fontId="7" fillId="0" borderId="1" xfId="2" applyNumberFormat="1" applyFont="1" applyFill="1" applyBorder="1" applyAlignment="1">
      <alignment vertical="center" wrapText="1"/>
    </xf>
    <xf numFmtId="0" fontId="7" fillId="0" borderId="0" xfId="3" applyFont="1" applyFill="1" applyBorder="1" applyAlignment="1">
      <alignment horizontal="left" vertical="center"/>
    </xf>
    <xf numFmtId="0" fontId="7" fillId="0" borderId="5" xfId="3" applyFont="1" applyFill="1" applyBorder="1" applyAlignment="1">
      <alignment vertical="center"/>
    </xf>
    <xf numFmtId="41" fontId="7" fillId="0" borderId="11" xfId="1" applyNumberFormat="1" applyFont="1" applyFill="1" applyBorder="1" applyAlignment="1">
      <alignment vertical="center" wrapText="1"/>
    </xf>
    <xf numFmtId="41" fontId="7" fillId="0" borderId="14" xfId="1" applyNumberFormat="1" applyFont="1" applyFill="1" applyBorder="1" applyAlignment="1">
      <alignment vertical="center" wrapText="1"/>
    </xf>
    <xf numFmtId="41" fontId="7" fillId="0" borderId="7" xfId="1" applyNumberFormat="1" applyFont="1" applyFill="1" applyBorder="1" applyAlignment="1">
      <alignment vertical="center" wrapText="1"/>
    </xf>
    <xf numFmtId="41" fontId="7" fillId="0" borderId="1" xfId="1" applyNumberFormat="1" applyFont="1" applyFill="1" applyBorder="1" applyAlignment="1">
      <alignment vertical="center" wrapText="1"/>
    </xf>
    <xf numFmtId="41" fontId="5" fillId="0" borderId="9" xfId="1" applyNumberFormat="1" applyFont="1" applyFill="1" applyBorder="1" applyAlignment="1">
      <alignment vertical="center" wrapText="1"/>
    </xf>
    <xf numFmtId="41" fontId="7" fillId="0" borderId="3" xfId="1" applyNumberFormat="1" applyFont="1" applyFill="1" applyBorder="1" applyAlignment="1">
      <alignment vertical="center" wrapText="1"/>
    </xf>
    <xf numFmtId="0" fontId="4" fillId="0" borderId="13" xfId="0" applyFont="1" applyFill="1" applyBorder="1">
      <alignment vertical="center"/>
    </xf>
    <xf numFmtId="41" fontId="7" fillId="0" borderId="0" xfId="2" applyFont="1" applyFill="1" applyBorder="1" applyAlignment="1">
      <alignment vertical="center"/>
    </xf>
    <xf numFmtId="0" fontId="7" fillId="0" borderId="12" xfId="3" applyNumberFormat="1" applyFont="1" applyFill="1" applyBorder="1" applyAlignment="1">
      <alignment horizontal="left" vertical="center"/>
    </xf>
    <xf numFmtId="187" fontId="7" fillId="0" borderId="13" xfId="1" applyNumberFormat="1" applyFont="1" applyFill="1" applyBorder="1" applyAlignment="1">
      <alignment vertical="center" wrapText="1"/>
    </xf>
    <xf numFmtId="0" fontId="7" fillId="0" borderId="0" xfId="3" applyNumberFormat="1" applyFont="1" applyFill="1" applyBorder="1" applyAlignment="1">
      <alignment horizontal="left" vertical="center"/>
    </xf>
    <xf numFmtId="176" fontId="7" fillId="0" borderId="0" xfId="2" applyNumberFormat="1" applyFont="1" applyFill="1" applyBorder="1" applyAlignment="1">
      <alignment horizontal="right" vertical="center"/>
    </xf>
    <xf numFmtId="180" fontId="7" fillId="0" borderId="0" xfId="2" applyNumberFormat="1" applyFont="1" applyFill="1" applyBorder="1" applyAlignment="1">
      <alignment horizontal="right" vertical="center"/>
    </xf>
    <xf numFmtId="181" fontId="7" fillId="0" borderId="13" xfId="3" applyNumberFormat="1" applyFont="1" applyFill="1" applyBorder="1" applyAlignment="1">
      <alignment vertical="center"/>
    </xf>
    <xf numFmtId="180" fontId="7" fillId="0" borderId="0" xfId="2" applyNumberFormat="1" applyFont="1" applyFill="1" applyBorder="1" applyAlignment="1">
      <alignment vertical="center"/>
    </xf>
    <xf numFmtId="179" fontId="7" fillId="0" borderId="13" xfId="3" applyNumberFormat="1" applyFont="1" applyFill="1" applyBorder="1" applyAlignment="1">
      <alignment vertical="center"/>
    </xf>
    <xf numFmtId="177" fontId="7" fillId="0" borderId="13" xfId="3" applyNumberFormat="1" applyFont="1" applyFill="1" applyBorder="1" applyAlignment="1">
      <alignment vertical="center"/>
    </xf>
    <xf numFmtId="0" fontId="7" fillId="0" borderId="9" xfId="3" quotePrefix="1" applyFont="1" applyFill="1" applyBorder="1" applyAlignment="1">
      <alignment horizontal="left" vertical="center"/>
    </xf>
    <xf numFmtId="41" fontId="7" fillId="0" borderId="9" xfId="2" applyFont="1" applyFill="1" applyBorder="1" applyAlignment="1">
      <alignment vertical="center"/>
    </xf>
    <xf numFmtId="0" fontId="7" fillId="0" borderId="9" xfId="3" quotePrefix="1" applyFont="1" applyFill="1" applyBorder="1" applyAlignment="1">
      <alignment vertical="center"/>
    </xf>
    <xf numFmtId="0" fontId="7" fillId="0" borderId="9" xfId="3" applyFont="1" applyFill="1" applyBorder="1" applyAlignment="1">
      <alignment vertical="center"/>
    </xf>
    <xf numFmtId="176" fontId="7" fillId="0" borderId="1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left" vertical="center" wrapText="1"/>
    </xf>
    <xf numFmtId="176" fontId="7" fillId="0" borderId="0" xfId="2" applyNumberFormat="1" applyFont="1" applyFill="1" applyBorder="1" applyAlignment="1">
      <alignment vertical="center"/>
    </xf>
    <xf numFmtId="176" fontId="7" fillId="0" borderId="0" xfId="3" quotePrefix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 wrapText="1"/>
    </xf>
    <xf numFmtId="177" fontId="7" fillId="0" borderId="0" xfId="2" applyNumberFormat="1" applyFont="1" applyFill="1" applyBorder="1" applyAlignment="1">
      <alignment vertical="center"/>
    </xf>
    <xf numFmtId="177" fontId="7" fillId="0" borderId="0" xfId="3" quotePrefix="1" applyNumberFormat="1" applyFont="1" applyFill="1" applyBorder="1" applyAlignment="1">
      <alignment vertical="center"/>
    </xf>
    <xf numFmtId="177" fontId="7" fillId="0" borderId="0" xfId="3" applyNumberFormat="1" applyFont="1" applyFill="1" applyBorder="1" applyAlignment="1">
      <alignment horizontal="center" vertical="center"/>
    </xf>
    <xf numFmtId="177" fontId="7" fillId="0" borderId="0" xfId="3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177" fontId="7" fillId="0" borderId="10" xfId="3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vertical="center"/>
    </xf>
    <xf numFmtId="0" fontId="7" fillId="0" borderId="0" xfId="0" quotePrefix="1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178" fontId="7" fillId="0" borderId="9" xfId="1" applyNumberFormat="1" applyFont="1" applyFill="1" applyBorder="1" applyAlignment="1">
      <alignment vertical="center"/>
    </xf>
    <xf numFmtId="0" fontId="7" fillId="0" borderId="9" xfId="0" quotePrefix="1" applyFont="1" applyFill="1" applyBorder="1" applyAlignment="1">
      <alignment vertical="center"/>
    </xf>
    <xf numFmtId="183" fontId="7" fillId="0" borderId="9" xfId="1" applyNumberFormat="1" applyFont="1" applyFill="1" applyBorder="1" applyAlignment="1">
      <alignment vertical="center"/>
    </xf>
    <xf numFmtId="0" fontId="7" fillId="0" borderId="0" xfId="3" quotePrefix="1" applyNumberFormat="1" applyFont="1" applyFill="1" applyBorder="1" applyAlignment="1">
      <alignment vertical="center"/>
    </xf>
    <xf numFmtId="0" fontId="7" fillId="0" borderId="0" xfId="0" quotePrefix="1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right" vertical="center"/>
    </xf>
    <xf numFmtId="181" fontId="7" fillId="0" borderId="13" xfId="0" applyNumberFormat="1" applyFont="1" applyFill="1" applyBorder="1" applyAlignment="1">
      <alignment vertical="center"/>
    </xf>
    <xf numFmtId="41" fontId="7" fillId="0" borderId="9" xfId="1" applyFont="1" applyFill="1" applyBorder="1" applyAlignment="1">
      <alignment vertical="center"/>
    </xf>
    <xf numFmtId="177" fontId="7" fillId="0" borderId="10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80" fontId="7" fillId="0" borderId="0" xfId="1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vertical="center"/>
    </xf>
    <xf numFmtId="176" fontId="7" fillId="0" borderId="0" xfId="0" quotePrefix="1" applyNumberFormat="1" applyFont="1" applyFill="1" applyBorder="1" applyAlignment="1">
      <alignment vertical="center"/>
    </xf>
    <xf numFmtId="179" fontId="7" fillId="0" borderId="13" xfId="1" applyNumberFormat="1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horizontal="right" vertical="center"/>
    </xf>
    <xf numFmtId="177" fontId="7" fillId="0" borderId="10" xfId="0" applyNumberFormat="1" applyFont="1" applyFill="1" applyBorder="1" applyAlignment="1">
      <alignment vertical="center"/>
    </xf>
    <xf numFmtId="41" fontId="7" fillId="0" borderId="5" xfId="1" applyFont="1" applyFill="1" applyBorder="1" applyAlignment="1">
      <alignment vertical="center"/>
    </xf>
    <xf numFmtId="49" fontId="14" fillId="0" borderId="5" xfId="1" applyNumberFormat="1" applyFont="1" applyFill="1" applyBorder="1" applyAlignment="1">
      <alignment vertical="center"/>
    </xf>
    <xf numFmtId="49" fontId="14" fillId="0" borderId="5" xfId="0" applyNumberFormat="1" applyFont="1" applyFill="1" applyBorder="1" applyAlignment="1">
      <alignment vertical="center"/>
    </xf>
    <xf numFmtId="49" fontId="7" fillId="0" borderId="5" xfId="0" quotePrefix="1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186" fontId="7" fillId="0" borderId="6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7" fillId="0" borderId="0" xfId="0" quotePrefix="1" applyNumberFormat="1" applyFont="1" applyFill="1" applyBorder="1" applyAlignment="1">
      <alignment vertical="center"/>
    </xf>
    <xf numFmtId="41" fontId="7" fillId="0" borderId="13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49" fontId="14" fillId="0" borderId="0" xfId="0" quotePrefix="1" applyNumberFormat="1" applyFont="1" applyFill="1" applyBorder="1" applyAlignment="1">
      <alignment vertical="center"/>
    </xf>
    <xf numFmtId="184" fontId="7" fillId="0" borderId="0" xfId="0" quotePrefix="1" applyNumberFormat="1" applyFont="1" applyFill="1" applyBorder="1" applyAlignment="1">
      <alignment vertical="center"/>
    </xf>
    <xf numFmtId="178" fontId="14" fillId="0" borderId="9" xfId="1" applyNumberFormat="1" applyFont="1" applyFill="1" applyBorder="1" applyAlignment="1">
      <alignment vertical="center"/>
    </xf>
    <xf numFmtId="49" fontId="14" fillId="0" borderId="9" xfId="0" quotePrefix="1" applyNumberFormat="1" applyFont="1" applyFill="1" applyBorder="1" applyAlignment="1">
      <alignment vertical="center"/>
    </xf>
    <xf numFmtId="184" fontId="7" fillId="0" borderId="9" xfId="0" quotePrefix="1" applyNumberFormat="1" applyFont="1" applyFill="1" applyBorder="1" applyAlignment="1">
      <alignment vertical="center"/>
    </xf>
    <xf numFmtId="0" fontId="4" fillId="0" borderId="9" xfId="0" applyFont="1" applyFill="1" applyBorder="1">
      <alignment vertical="center"/>
    </xf>
    <xf numFmtId="177" fontId="10" fillId="0" borderId="10" xfId="0" applyNumberFormat="1" applyFont="1" applyFill="1" applyBorder="1">
      <alignment vertical="center"/>
    </xf>
    <xf numFmtId="177" fontId="10" fillId="0" borderId="5" xfId="0" applyNumberFormat="1" applyFont="1" applyFill="1" applyBorder="1" applyAlignment="1">
      <alignment vertical="center"/>
    </xf>
    <xf numFmtId="177" fontId="10" fillId="0" borderId="6" xfId="0" applyNumberFormat="1" applyFont="1" applyFill="1" applyBorder="1" applyAlignment="1">
      <alignment vertical="center"/>
    </xf>
    <xf numFmtId="177" fontId="10" fillId="0" borderId="9" xfId="0" applyNumberFormat="1" applyFont="1" applyFill="1" applyBorder="1" applyAlignment="1">
      <alignment vertical="center"/>
    </xf>
    <xf numFmtId="177" fontId="10" fillId="0" borderId="10" xfId="0" applyNumberFormat="1" applyFont="1" applyFill="1" applyBorder="1" applyAlignment="1">
      <alignment vertical="center"/>
    </xf>
    <xf numFmtId="176" fontId="7" fillId="0" borderId="5" xfId="1" applyNumberFormat="1" applyFont="1" applyFill="1" applyBorder="1" applyAlignment="1">
      <alignment horizontal="center" vertical="center"/>
    </xf>
    <xf numFmtId="176" fontId="7" fillId="0" borderId="5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 wrapText="1"/>
    </xf>
    <xf numFmtId="178" fontId="7" fillId="0" borderId="9" xfId="1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vertical="center"/>
    </xf>
    <xf numFmtId="49" fontId="7" fillId="0" borderId="9" xfId="0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 wrapText="1"/>
    </xf>
    <xf numFmtId="185" fontId="7" fillId="0" borderId="13" xfId="1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185" fontId="7" fillId="0" borderId="13" xfId="0" applyNumberFormat="1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41" fontId="22" fillId="0" borderId="0" xfId="1" applyFont="1" applyFill="1" applyBorder="1" applyAlignment="1">
      <alignment horizontal="center" vertical="center"/>
    </xf>
    <xf numFmtId="41" fontId="15" fillId="0" borderId="0" xfId="1" applyFont="1" applyFill="1" applyBorder="1" applyAlignment="1">
      <alignment horizontal="center" vertical="center"/>
    </xf>
    <xf numFmtId="177" fontId="10" fillId="0" borderId="0" xfId="1" applyNumberFormat="1" applyFont="1" applyFill="1" applyBorder="1" applyAlignment="1">
      <alignment vertical="center"/>
    </xf>
    <xf numFmtId="41" fontId="10" fillId="0" borderId="0" xfId="1" applyFont="1" applyFill="1" applyBorder="1" applyAlignment="1">
      <alignment vertical="center"/>
    </xf>
    <xf numFmtId="41" fontId="10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left" vertical="center"/>
    </xf>
    <xf numFmtId="177" fontId="7" fillId="0" borderId="13" xfId="1" applyNumberFormat="1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176" fontId="7" fillId="0" borderId="13" xfId="1" applyNumberFormat="1" applyFont="1" applyFill="1" applyBorder="1" applyAlignment="1">
      <alignment vertical="center"/>
    </xf>
    <xf numFmtId="41" fontId="12" fillId="0" borderId="0" xfId="1" applyFont="1" applyFill="1" applyAlignment="1">
      <alignment horizontal="center" vertical="center"/>
    </xf>
    <xf numFmtId="41" fontId="12" fillId="0" borderId="13" xfId="1" applyFont="1" applyFill="1" applyBorder="1">
      <alignment vertical="center"/>
    </xf>
    <xf numFmtId="0" fontId="4" fillId="0" borderId="9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center" vertical="center"/>
    </xf>
    <xf numFmtId="185" fontId="7" fillId="0" borderId="0" xfId="0" applyNumberFormat="1" applyFont="1" applyFill="1" applyBorder="1" applyAlignment="1">
      <alignment horizontal="center" vertical="center"/>
    </xf>
    <xf numFmtId="180" fontId="7" fillId="0" borderId="0" xfId="1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horizontal="center" vertical="center"/>
    </xf>
    <xf numFmtId="181" fontId="7" fillId="0" borderId="13" xfId="1" applyNumberFormat="1" applyFont="1" applyFill="1" applyBorder="1" applyAlignment="1">
      <alignment vertical="center"/>
    </xf>
    <xf numFmtId="183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center" vertical="center"/>
    </xf>
    <xf numFmtId="188" fontId="7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81" fontId="7" fillId="0" borderId="13" xfId="1" applyNumberFormat="1" applyFont="1" applyFill="1" applyBorder="1" applyAlignment="1">
      <alignment vertical="center" wrapText="1"/>
    </xf>
    <xf numFmtId="176" fontId="10" fillId="0" borderId="13" xfId="0" applyNumberFormat="1" applyFont="1" applyFill="1" applyBorder="1">
      <alignment vertical="center"/>
    </xf>
    <xf numFmtId="0" fontId="7" fillId="0" borderId="9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185" fontId="7" fillId="0" borderId="6" xfId="1" applyNumberFormat="1" applyFont="1" applyFill="1" applyBorder="1" applyAlignment="1">
      <alignment vertical="center" wrapText="1"/>
    </xf>
    <xf numFmtId="177" fontId="7" fillId="0" borderId="0" xfId="1" applyNumberFormat="1" applyFont="1" applyFill="1" applyBorder="1" applyAlignment="1">
      <alignment horizontal="right" vertical="center"/>
    </xf>
    <xf numFmtId="188" fontId="7" fillId="0" borderId="0" xfId="1" applyNumberFormat="1" applyFont="1" applyFill="1" applyBorder="1" applyAlignment="1">
      <alignment horizontal="center" vertical="center"/>
    </xf>
    <xf numFmtId="183" fontId="7" fillId="0" borderId="0" xfId="1" applyNumberFormat="1" applyFont="1" applyFill="1" applyBorder="1" applyAlignment="1">
      <alignment horizontal="center" vertical="center"/>
    </xf>
    <xf numFmtId="41" fontId="12" fillId="0" borderId="12" xfId="1" applyFont="1" applyFill="1" applyBorder="1">
      <alignment vertical="center"/>
    </xf>
    <xf numFmtId="41" fontId="12" fillId="0" borderId="0" xfId="1" applyFont="1" applyFill="1" applyBorder="1">
      <alignment vertical="center"/>
    </xf>
    <xf numFmtId="177" fontId="7" fillId="0" borderId="0" xfId="1" applyNumberFormat="1" applyFont="1" applyFill="1" applyBorder="1" applyAlignment="1">
      <alignment vertical="center"/>
    </xf>
    <xf numFmtId="41" fontId="10" fillId="0" borderId="0" xfId="1" applyFont="1" applyFill="1" applyBorder="1">
      <alignment vertical="center"/>
    </xf>
    <xf numFmtId="183" fontId="10" fillId="0" borderId="0" xfId="1" applyNumberFormat="1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center"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177" fontId="7" fillId="0" borderId="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176" fontId="21" fillId="0" borderId="1" xfId="2" applyNumberFormat="1" applyFont="1" applyBorder="1" applyAlignment="1">
      <alignment horizontal="right" vertical="center" wrapText="1"/>
    </xf>
    <xf numFmtId="176" fontId="21" fillId="0" borderId="7" xfId="2" applyNumberFormat="1" applyFont="1" applyBorder="1" applyAlignment="1">
      <alignment horizontal="right" vertical="center"/>
    </xf>
    <xf numFmtId="9" fontId="21" fillId="0" borderId="1" xfId="0" applyNumberFormat="1" applyFont="1" applyBorder="1" applyAlignment="1">
      <alignment horizontal="right" vertical="center" wrapText="1"/>
    </xf>
    <xf numFmtId="9" fontId="21" fillId="0" borderId="7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right" vertical="center"/>
    </xf>
    <xf numFmtId="3" fontId="21" fillId="0" borderId="7" xfId="0" applyNumberFormat="1" applyFont="1" applyBorder="1" applyAlignment="1">
      <alignment horizontal="right" vertical="center"/>
    </xf>
    <xf numFmtId="9" fontId="21" fillId="0" borderId="4" xfId="0" applyNumberFormat="1" applyFont="1" applyBorder="1" applyAlignment="1">
      <alignment horizontal="right" vertical="center" wrapText="1"/>
    </xf>
    <xf numFmtId="9" fontId="21" fillId="0" borderId="8" xfId="0" applyNumberFormat="1" applyFont="1" applyBorder="1" applyAlignment="1">
      <alignment horizontal="right" vertical="center"/>
    </xf>
    <xf numFmtId="41" fontId="21" fillId="0" borderId="1" xfId="0" applyNumberFormat="1" applyFont="1" applyBorder="1" applyAlignment="1">
      <alignment horizontal="right" vertical="center" wrapText="1"/>
    </xf>
    <xf numFmtId="0" fontId="21" fillId="0" borderId="7" xfId="0" applyFont="1" applyBorder="1" applyAlignment="1">
      <alignment horizontal="right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0" fontId="21" fillId="0" borderId="7" xfId="0" applyFont="1" applyBorder="1" applyAlignment="1">
      <alignment horizontal="left" vertical="center"/>
    </xf>
    <xf numFmtId="41" fontId="21" fillId="0" borderId="7" xfId="0" applyNumberFormat="1" applyFont="1" applyBorder="1" applyAlignment="1">
      <alignment horizontal="right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3" fontId="21" fillId="0" borderId="1" xfId="0" applyNumberFormat="1" applyFont="1" applyBorder="1" applyAlignment="1">
      <alignment horizontal="right" vertical="center" wrapText="1"/>
    </xf>
    <xf numFmtId="182" fontId="21" fillId="0" borderId="1" xfId="2" applyNumberFormat="1" applyFont="1" applyBorder="1" applyAlignment="1">
      <alignment horizontal="right" vertical="center" wrapText="1"/>
    </xf>
    <xf numFmtId="182" fontId="21" fillId="0" borderId="7" xfId="2" applyNumberFormat="1" applyFont="1" applyBorder="1" applyAlignment="1">
      <alignment horizontal="right" vertical="center"/>
    </xf>
    <xf numFmtId="0" fontId="21" fillId="0" borderId="14" xfId="0" applyFont="1" applyBorder="1" applyAlignment="1">
      <alignment horizontal="center" vertical="center"/>
    </xf>
    <xf numFmtId="41" fontId="21" fillId="0" borderId="1" xfId="2" applyFont="1" applyBorder="1" applyAlignment="1">
      <alignment horizontal="right" vertical="center" wrapText="1"/>
    </xf>
    <xf numFmtId="41" fontId="21" fillId="0" borderId="7" xfId="2" applyFont="1" applyBorder="1" applyAlignment="1">
      <alignment horizontal="right" vertical="center" wrapText="1"/>
    </xf>
    <xf numFmtId="176" fontId="21" fillId="0" borderId="1" xfId="0" applyNumberFormat="1" applyFont="1" applyBorder="1" applyAlignment="1">
      <alignment horizontal="right" vertical="center" wrapText="1"/>
    </xf>
    <xf numFmtId="176" fontId="21" fillId="0" borderId="14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9" fontId="21" fillId="0" borderId="20" xfId="0" applyNumberFormat="1" applyFont="1" applyBorder="1" applyAlignment="1">
      <alignment horizontal="right" vertical="center" wrapText="1"/>
    </xf>
    <xf numFmtId="9" fontId="21" fillId="0" borderId="21" xfId="0" applyNumberFormat="1" applyFont="1" applyBorder="1" applyAlignment="1">
      <alignment horizontal="right" vertical="center" wrapText="1"/>
    </xf>
    <xf numFmtId="176" fontId="21" fillId="0" borderId="14" xfId="2" applyNumberFormat="1" applyFont="1" applyBorder="1" applyAlignment="1">
      <alignment horizontal="right" vertical="center" wrapText="1"/>
    </xf>
    <xf numFmtId="10" fontId="21" fillId="0" borderId="22" xfId="0" applyNumberFormat="1" applyFont="1" applyBorder="1" applyAlignment="1">
      <alignment horizontal="right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1" fontId="21" fillId="0" borderId="14" xfId="0" applyNumberFormat="1" applyFont="1" applyBorder="1" applyAlignment="1">
      <alignment horizontal="right" vertical="center" wrapText="1"/>
    </xf>
    <xf numFmtId="41" fontId="21" fillId="0" borderId="14" xfId="2" applyFont="1" applyBorder="1" applyAlignment="1">
      <alignment horizontal="right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176" fontId="21" fillId="0" borderId="1" xfId="2" applyNumberFormat="1" applyFont="1" applyBorder="1" applyAlignment="1">
      <alignment vertical="center"/>
    </xf>
    <xf numFmtId="176" fontId="21" fillId="0" borderId="7" xfId="2" applyNumberFormat="1" applyFont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41" fontId="21" fillId="0" borderId="7" xfId="2" applyFont="1" applyBorder="1" applyAlignment="1">
      <alignment horizontal="right" vertical="center"/>
    </xf>
    <xf numFmtId="177" fontId="10" fillId="0" borderId="5" xfId="0" applyNumberFormat="1" applyFont="1" applyFill="1" applyBorder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7" fontId="10" fillId="0" borderId="9" xfId="0" applyNumberFormat="1" applyFont="1" applyFill="1" applyBorder="1" applyAlignment="1">
      <alignment horizontal="right" vertical="center"/>
    </xf>
    <xf numFmtId="177" fontId="10" fillId="0" borderId="10" xfId="0" applyNumberFormat="1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41" fontId="10" fillId="0" borderId="1" xfId="0" applyNumberFormat="1" applyFont="1" applyFill="1" applyBorder="1" applyAlignment="1">
      <alignment horizontal="center" vertical="center" wrapText="1"/>
    </xf>
    <xf numFmtId="41" fontId="10" fillId="0" borderId="7" xfId="0" applyNumberFormat="1" applyFont="1" applyFill="1" applyBorder="1" applyAlignment="1">
      <alignment horizontal="center" vertical="center" wrapText="1"/>
    </xf>
    <xf numFmtId="41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9" fontId="10" fillId="0" borderId="11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41" fontId="7" fillId="0" borderId="9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14" xfId="1" applyNumberFormat="1" applyFont="1" applyFill="1" applyBorder="1" applyAlignment="1">
      <alignment horizontal="center" vertical="center" wrapText="1"/>
    </xf>
    <xf numFmtId="41" fontId="7" fillId="0" borderId="7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41" fontId="12" fillId="0" borderId="0" xfId="1" applyFont="1" applyFill="1" applyBorder="1" applyAlignment="1">
      <alignment horizontal="center" vertical="top" wrapText="1"/>
    </xf>
    <xf numFmtId="9" fontId="7" fillId="0" borderId="0" xfId="3" quotePrefix="1" applyNumberFormat="1" applyFont="1" applyFill="1" applyBorder="1" applyAlignment="1">
      <alignment horizontal="center" vertical="center"/>
    </xf>
    <xf numFmtId="176" fontId="7" fillId="0" borderId="0" xfId="3" applyNumberFormat="1" applyFont="1" applyFill="1" applyBorder="1" applyAlignment="1">
      <alignment horizontal="center" vertical="center"/>
    </xf>
    <xf numFmtId="41" fontId="7" fillId="0" borderId="11" xfId="1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right" vertical="center" wrapText="1"/>
    </xf>
    <xf numFmtId="41" fontId="7" fillId="0" borderId="1" xfId="0" applyNumberFormat="1" applyFont="1" applyFill="1" applyBorder="1" applyAlignment="1">
      <alignment horizontal="center" vertical="center" wrapText="1"/>
    </xf>
    <xf numFmtId="9" fontId="7" fillId="0" borderId="4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>
      <alignment vertical="center"/>
    </xf>
    <xf numFmtId="0" fontId="4" fillId="0" borderId="0" xfId="0" applyFont="1" applyFill="1" applyBorder="1">
      <alignment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1" fontId="7" fillId="0" borderId="7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/>
    </xf>
    <xf numFmtId="9" fontId="7" fillId="0" borderId="8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0" fontId="10" fillId="0" borderId="5" xfId="0" applyFont="1" applyFill="1" applyBorder="1">
      <alignment vertical="center"/>
    </xf>
    <xf numFmtId="0" fontId="10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41" fontId="7" fillId="0" borderId="7" xfId="0" applyNumberFormat="1" applyFont="1" applyFill="1" applyBorder="1" applyAlignment="1">
      <alignment horizontal="center" vertical="center"/>
    </xf>
    <xf numFmtId="9" fontId="7" fillId="0" borderId="8" xfId="0" applyNumberFormat="1" applyFont="1" applyFill="1" applyBorder="1" applyAlignment="1">
      <alignment horizontal="center" vertical="center"/>
    </xf>
    <xf numFmtId="0" fontId="10" fillId="0" borderId="9" xfId="0" applyFont="1" applyFill="1" applyBorder="1">
      <alignment vertical="center"/>
    </xf>
    <xf numFmtId="0" fontId="10" fillId="0" borderId="10" xfId="0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/>
    </xf>
    <xf numFmtId="41" fontId="10" fillId="0" borderId="6" xfId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/>
    </xf>
    <xf numFmtId="41" fontId="10" fillId="0" borderId="13" xfId="1" applyFont="1" applyFill="1" applyBorder="1" applyAlignment="1">
      <alignment horizontal="center" vertical="center"/>
    </xf>
    <xf numFmtId="41" fontId="7" fillId="0" borderId="11" xfId="2" quotePrefix="1" applyNumberFormat="1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41" fontId="10" fillId="0" borderId="10" xfId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 wrapText="1"/>
    </xf>
    <xf numFmtId="41" fontId="7" fillId="0" borderId="14" xfId="0" applyNumberFormat="1" applyFont="1" applyFill="1" applyBorder="1" applyAlignment="1">
      <alignment horizontal="right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41" fontId="10" fillId="0" borderId="13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76" fontId="7" fillId="0" borderId="7" xfId="0" applyNumberFormat="1" applyFont="1" applyFill="1" applyBorder="1" applyAlignment="1">
      <alignment horizontal="center" vertical="center" wrapText="1"/>
    </xf>
    <xf numFmtId="41" fontId="10" fillId="0" borderId="6" xfId="0" applyNumberFormat="1" applyFont="1" applyFill="1" applyBorder="1">
      <alignment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176" fontId="7" fillId="0" borderId="11" xfId="0" applyNumberFormat="1" applyFont="1" applyFill="1" applyBorder="1" applyAlignment="1">
      <alignment horizontal="center" vertical="center" wrapText="1"/>
    </xf>
    <xf numFmtId="9" fontId="7" fillId="0" borderId="11" xfId="0" applyNumberFormat="1" applyFont="1" applyFill="1" applyBorder="1" applyAlignment="1">
      <alignment horizontal="center" vertical="center" wrapText="1"/>
    </xf>
    <xf numFmtId="176" fontId="7" fillId="0" borderId="12" xfId="0" applyNumberFormat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9" fontId="7" fillId="0" borderId="14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9" fontId="7" fillId="0" borderId="7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76" fontId="7" fillId="0" borderId="14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9" fontId="7" fillId="0" borderId="7" xfId="0" applyNumberFormat="1" applyFont="1" applyFill="1" applyBorder="1" applyAlignment="1">
      <alignment horizontal="center" vertical="center" wrapText="1"/>
    </xf>
    <xf numFmtId="9" fontId="7" fillId="0" borderId="11" xfId="8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9" fontId="7" fillId="0" borderId="14" xfId="1" applyNumberFormat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176" fontId="7" fillId="0" borderId="7" xfId="1" applyNumberFormat="1" applyFont="1" applyFill="1" applyBorder="1" applyAlignment="1">
      <alignment horizontal="center" vertical="center"/>
    </xf>
    <xf numFmtId="9" fontId="7" fillId="0" borderId="7" xfId="1" applyNumberFormat="1" applyFont="1" applyFill="1" applyBorder="1" applyAlignment="1">
      <alignment horizontal="center" vertical="center"/>
    </xf>
    <xf numFmtId="41" fontId="7" fillId="0" borderId="14" xfId="1" applyFont="1" applyFill="1" applyBorder="1" applyAlignment="1">
      <alignment horizontal="center" vertical="center" wrapText="1"/>
    </xf>
    <xf numFmtId="9" fontId="7" fillId="0" borderId="14" xfId="0" applyNumberFormat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41" fontId="7" fillId="0" borderId="7" xfId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9" fontId="7" fillId="0" borderId="12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176" fontId="7" fillId="0" borderId="9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182" fontId="7" fillId="0" borderId="1" xfId="1" applyNumberFormat="1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vertical="center"/>
    </xf>
    <xf numFmtId="41" fontId="7" fillId="0" borderId="7" xfId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182" fontId="7" fillId="0" borderId="7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178" fontId="7" fillId="0" borderId="5" xfId="1" applyNumberFormat="1" applyFont="1" applyFill="1" applyBorder="1" applyAlignment="1">
      <alignment vertical="center"/>
    </xf>
    <xf numFmtId="181" fontId="7" fillId="0" borderId="6" xfId="0" applyNumberFormat="1" applyFont="1" applyFill="1" applyBorder="1" applyAlignment="1">
      <alignment vertical="center"/>
    </xf>
    <xf numFmtId="182" fontId="7" fillId="0" borderId="14" xfId="1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 wrapText="1"/>
    </xf>
    <xf numFmtId="185" fontId="7" fillId="0" borderId="6" xfId="0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horizontal="center" vertical="center" wrapText="1"/>
    </xf>
    <xf numFmtId="185" fontId="7" fillId="0" borderId="13" xfId="0" applyNumberFormat="1" applyFont="1" applyFill="1" applyBorder="1" applyAlignment="1">
      <alignment vertical="center"/>
    </xf>
    <xf numFmtId="176" fontId="7" fillId="0" borderId="14" xfId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left" vertical="center"/>
    </xf>
    <xf numFmtId="0" fontId="7" fillId="0" borderId="5" xfId="1" applyNumberFormat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9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4" xfId="0" applyFont="1" applyFill="1" applyBorder="1" applyAlignment="1">
      <alignment horizontal="center" vertical="top" wrapText="1"/>
    </xf>
    <xf numFmtId="9" fontId="7" fillId="0" borderId="14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top" wrapText="1"/>
    </xf>
    <xf numFmtId="41" fontId="7" fillId="0" borderId="14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178" fontId="7" fillId="0" borderId="5" xfId="1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78" fontId="7" fillId="0" borderId="9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center" vertical="center" wrapText="1"/>
    </xf>
    <xf numFmtId="41" fontId="21" fillId="0" borderId="14" xfId="0" applyNumberFormat="1" applyFont="1" applyBorder="1" applyAlignment="1">
      <alignment horizontal="right" vertical="center" wrapText="1"/>
    </xf>
    <xf numFmtId="9" fontId="21" fillId="0" borderId="14" xfId="0" applyNumberFormat="1" applyFont="1" applyBorder="1" applyAlignment="1">
      <alignment horizontal="right" vertical="center" wrapText="1"/>
    </xf>
    <xf numFmtId="0" fontId="21" fillId="0" borderId="18" xfId="0" applyFont="1" applyBorder="1" applyAlignment="1"/>
    <xf numFmtId="0" fontId="21" fillId="0" borderId="7" xfId="0" applyFont="1" applyBorder="1" applyAlignment="1"/>
    <xf numFmtId="9" fontId="21" fillId="0" borderId="11" xfId="8" applyFont="1" applyBorder="1" applyAlignment="1">
      <alignment horizontal="right" vertical="center"/>
    </xf>
  </cellXfs>
  <cellStyles count="9">
    <cellStyle name="백분율" xfId="8" builtinId="5"/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A13" zoomScale="115" zoomScaleNormal="115" workbookViewId="0">
      <selection activeCell="D46" sqref="D46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2" max="12" width="9.5" bestFit="1" customWidth="1"/>
    <col min="13" max="13" width="9.125" bestFit="1" customWidth="1"/>
    <col min="14" max="14" width="9.125" style="45" bestFit="1" customWidth="1"/>
  </cols>
  <sheetData>
    <row r="1" spans="1:14">
      <c r="A1" s="227" t="s">
        <v>225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</row>
    <row r="2" spans="1:14">
      <c r="A2" s="9" t="s">
        <v>17</v>
      </c>
      <c r="B2" s="10"/>
      <c r="C2" s="11"/>
      <c r="D2" s="12"/>
      <c r="E2" s="12"/>
      <c r="F2" s="12"/>
      <c r="G2" s="12"/>
      <c r="H2" s="10"/>
      <c r="I2" s="10"/>
      <c r="J2" s="10"/>
      <c r="K2" s="10"/>
      <c r="L2" s="10"/>
      <c r="M2" s="13"/>
      <c r="N2" s="14" t="s">
        <v>18</v>
      </c>
    </row>
    <row r="3" spans="1:14" s="15" customFormat="1" ht="17.25" customHeight="1">
      <c r="A3" s="228" t="s">
        <v>19</v>
      </c>
      <c r="B3" s="229"/>
      <c r="C3" s="229"/>
      <c r="D3" s="229"/>
      <c r="E3" s="229"/>
      <c r="F3" s="229"/>
      <c r="G3" s="229"/>
      <c r="H3" s="230" t="s">
        <v>20</v>
      </c>
      <c r="I3" s="229"/>
      <c r="J3" s="229"/>
      <c r="K3" s="229"/>
      <c r="L3" s="229"/>
      <c r="M3" s="229"/>
      <c r="N3" s="231"/>
    </row>
    <row r="4" spans="1:14" s="15" customFormat="1" ht="15" customHeight="1">
      <c r="A4" s="232" t="s">
        <v>21</v>
      </c>
      <c r="B4" s="232" t="s">
        <v>22</v>
      </c>
      <c r="C4" s="232" t="s">
        <v>23</v>
      </c>
      <c r="D4" s="234" t="s">
        <v>226</v>
      </c>
      <c r="E4" s="234" t="s">
        <v>228</v>
      </c>
      <c r="F4" s="235" t="s">
        <v>24</v>
      </c>
      <c r="G4" s="229"/>
      <c r="H4" s="236" t="s">
        <v>21</v>
      </c>
      <c r="I4" s="232" t="s">
        <v>22</v>
      </c>
      <c r="J4" s="232" t="s">
        <v>23</v>
      </c>
      <c r="K4" s="234" t="s">
        <v>227</v>
      </c>
      <c r="L4" s="234" t="s">
        <v>228</v>
      </c>
      <c r="M4" s="235" t="s">
        <v>24</v>
      </c>
      <c r="N4" s="231"/>
    </row>
    <row r="5" spans="1:14" s="15" customFormat="1" ht="15" customHeight="1">
      <c r="A5" s="233"/>
      <c r="B5" s="233"/>
      <c r="C5" s="233"/>
      <c r="D5" s="233"/>
      <c r="E5" s="233"/>
      <c r="F5" s="16" t="s">
        <v>25</v>
      </c>
      <c r="G5" s="16" t="s">
        <v>26</v>
      </c>
      <c r="H5" s="237"/>
      <c r="I5" s="233"/>
      <c r="J5" s="233"/>
      <c r="K5" s="233"/>
      <c r="L5" s="233"/>
      <c r="M5" s="16" t="s">
        <v>25</v>
      </c>
      <c r="N5" s="17" t="s">
        <v>26</v>
      </c>
    </row>
    <row r="6" spans="1:14" s="15" customFormat="1" ht="15" customHeight="1">
      <c r="A6" s="245" t="s">
        <v>27</v>
      </c>
      <c r="B6" s="245"/>
      <c r="C6" s="254" t="s">
        <v>28</v>
      </c>
      <c r="D6" s="250">
        <f>SUM(D8:D19)</f>
        <v>741506</v>
      </c>
      <c r="E6" s="250">
        <f>SUM(E8:E19)</f>
        <v>767603</v>
      </c>
      <c r="F6" s="250">
        <f>SUM(F8:F19)</f>
        <v>26097</v>
      </c>
      <c r="G6" s="248">
        <f>F6/D6</f>
        <v>3.5194590468586903E-2</v>
      </c>
      <c r="H6" s="252" t="s">
        <v>27</v>
      </c>
      <c r="I6" s="245"/>
      <c r="J6" s="254" t="s">
        <v>28</v>
      </c>
      <c r="K6" s="250">
        <f>K8+K30+K40+K48</f>
        <v>741506</v>
      </c>
      <c r="L6" s="250">
        <f>L8+L30+L40+L48</f>
        <v>767603</v>
      </c>
      <c r="M6" s="238">
        <f>L6-K6</f>
        <v>26097</v>
      </c>
      <c r="N6" s="240">
        <f t="shared" ref="N6" si="0">M6/K6</f>
        <v>3.5194590468586903E-2</v>
      </c>
    </row>
    <row r="7" spans="1:14" s="15" customFormat="1" ht="15" customHeight="1">
      <c r="A7" s="243"/>
      <c r="B7" s="243"/>
      <c r="C7" s="255"/>
      <c r="D7" s="251"/>
      <c r="E7" s="251"/>
      <c r="F7" s="251"/>
      <c r="G7" s="249"/>
      <c r="H7" s="253"/>
      <c r="I7" s="243"/>
      <c r="J7" s="255"/>
      <c r="K7" s="256"/>
      <c r="L7" s="256"/>
      <c r="M7" s="239"/>
      <c r="N7" s="241"/>
    </row>
    <row r="8" spans="1:14" s="15" customFormat="1" ht="15" customHeight="1">
      <c r="A8" s="242" t="s">
        <v>29</v>
      </c>
      <c r="B8" s="242" t="s">
        <v>29</v>
      </c>
      <c r="C8" s="245"/>
      <c r="D8" s="246"/>
      <c r="E8" s="246"/>
      <c r="F8" s="238"/>
      <c r="G8" s="248"/>
      <c r="H8" s="257" t="s">
        <v>30</v>
      </c>
      <c r="I8" s="242"/>
      <c r="J8" s="258"/>
      <c r="K8" s="260">
        <f>K10+K22</f>
        <v>570634</v>
      </c>
      <c r="L8" s="260">
        <f>L10+L22</f>
        <v>593228.20000000007</v>
      </c>
      <c r="M8" s="238">
        <f t="shared" ref="M8" si="1">L8-K8</f>
        <v>22594.20000000007</v>
      </c>
      <c r="N8" s="240">
        <f t="shared" ref="N8" si="2">M8/K8</f>
        <v>3.9594906717791208E-2</v>
      </c>
    </row>
    <row r="9" spans="1:14" s="15" customFormat="1" ht="15" customHeight="1">
      <c r="A9" s="243"/>
      <c r="B9" s="244"/>
      <c r="C9" s="243"/>
      <c r="D9" s="247"/>
      <c r="E9" s="247"/>
      <c r="F9" s="239"/>
      <c r="G9" s="249"/>
      <c r="H9" s="253"/>
      <c r="I9" s="244"/>
      <c r="J9" s="259"/>
      <c r="K9" s="251"/>
      <c r="L9" s="251"/>
      <c r="M9" s="239"/>
      <c r="N9" s="241"/>
    </row>
    <row r="10" spans="1:14" s="15" customFormat="1" ht="15" customHeight="1">
      <c r="A10" s="18"/>
      <c r="B10" s="18"/>
      <c r="C10" s="242" t="s">
        <v>29</v>
      </c>
      <c r="D10" s="264">
        <f>'2020년 세입세출'!E7</f>
        <v>636412</v>
      </c>
      <c r="E10" s="264">
        <f>'2020년 세입세출'!F7</f>
        <v>654443</v>
      </c>
      <c r="F10" s="238">
        <f>E10-D10</f>
        <v>18031</v>
      </c>
      <c r="G10" s="248">
        <f>F10/D10</f>
        <v>2.8332275318504366E-2</v>
      </c>
      <c r="H10" s="19"/>
      <c r="I10" s="245" t="s">
        <v>31</v>
      </c>
      <c r="J10" s="245"/>
      <c r="K10" s="266">
        <f>SUM(K12:K21)</f>
        <v>566638</v>
      </c>
      <c r="L10" s="266">
        <f>SUM(L12:L21)</f>
        <v>590132.20000000007</v>
      </c>
      <c r="M10" s="238">
        <f t="shared" ref="M10" si="3">L10-K10</f>
        <v>23494.20000000007</v>
      </c>
      <c r="N10" s="240">
        <f t="shared" ref="N10" si="4">M10/K10</f>
        <v>4.1462450453376001E-2</v>
      </c>
    </row>
    <row r="11" spans="1:14" s="15" customFormat="1" ht="15" customHeight="1">
      <c r="A11" s="20"/>
      <c r="B11" s="20"/>
      <c r="C11" s="244"/>
      <c r="D11" s="265"/>
      <c r="E11" s="265"/>
      <c r="F11" s="239"/>
      <c r="G11" s="249"/>
      <c r="H11" s="21"/>
      <c r="I11" s="263"/>
      <c r="J11" s="263"/>
      <c r="K11" s="267"/>
      <c r="L11" s="267"/>
      <c r="M11" s="239"/>
      <c r="N11" s="241"/>
    </row>
    <row r="12" spans="1:14" s="15" customFormat="1" ht="15" customHeight="1">
      <c r="A12" s="242" t="s">
        <v>32</v>
      </c>
      <c r="B12" s="242" t="s">
        <v>32</v>
      </c>
      <c r="C12" s="242"/>
      <c r="D12" s="246"/>
      <c r="E12" s="246"/>
      <c r="F12" s="261"/>
      <c r="G12" s="248"/>
      <c r="H12" s="21"/>
      <c r="I12" s="22"/>
      <c r="J12" s="245" t="s">
        <v>33</v>
      </c>
      <c r="K12" s="250">
        <f>'2020년 세입세출'!E26+'2020년 세입세출'!E27</f>
        <v>385241</v>
      </c>
      <c r="L12" s="250">
        <f>'2020년 세입세출'!F26+'2020년 세입세출'!F27</f>
        <v>405187</v>
      </c>
      <c r="M12" s="238">
        <f t="shared" ref="M12" si="5">L12-K12</f>
        <v>19946</v>
      </c>
      <c r="N12" s="240">
        <f>M12/K12</f>
        <v>5.177538216337306E-2</v>
      </c>
    </row>
    <row r="13" spans="1:14" s="15" customFormat="1" ht="15" customHeight="1">
      <c r="A13" s="244"/>
      <c r="B13" s="244"/>
      <c r="C13" s="244"/>
      <c r="D13" s="251"/>
      <c r="E13" s="251"/>
      <c r="F13" s="262"/>
      <c r="G13" s="249"/>
      <c r="H13" s="21"/>
      <c r="I13" s="23"/>
      <c r="J13" s="263"/>
      <c r="K13" s="256"/>
      <c r="L13" s="256"/>
      <c r="M13" s="239"/>
      <c r="N13" s="241"/>
    </row>
    <row r="14" spans="1:14" s="15" customFormat="1" ht="15" customHeight="1">
      <c r="A14" s="24"/>
      <c r="B14" s="24"/>
      <c r="C14" s="242" t="s">
        <v>32</v>
      </c>
      <c r="D14" s="264">
        <f>'2020년 세입세출'!E12</f>
        <v>104942</v>
      </c>
      <c r="E14" s="264">
        <f>'2020년 세입세출'!F12</f>
        <v>113003</v>
      </c>
      <c r="F14" s="261">
        <f t="shared" ref="F14" si="6">E14-D14</f>
        <v>8061</v>
      </c>
      <c r="G14" s="269">
        <f>F14/D14</f>
        <v>7.6813859084065489E-2</v>
      </c>
      <c r="H14" s="21"/>
      <c r="I14" s="23"/>
      <c r="J14" s="245" t="s">
        <v>35</v>
      </c>
      <c r="K14" s="250">
        <f>'2020년 세입세출'!E58+'2020년 세입세출'!E59</f>
        <v>90158</v>
      </c>
      <c r="L14" s="250">
        <f>'2020년 세입세출'!F58+'2020년 세입세출'!F59</f>
        <v>90750.9</v>
      </c>
      <c r="M14" s="238">
        <f t="shared" ref="M14" si="7">L14-K14</f>
        <v>592.89999999999418</v>
      </c>
      <c r="N14" s="240">
        <f t="shared" ref="N14" si="8">M14/K14</f>
        <v>6.576232835688393E-3</v>
      </c>
    </row>
    <row r="15" spans="1:14" s="15" customFormat="1" ht="15" customHeight="1">
      <c r="A15" s="25"/>
      <c r="B15" s="25"/>
      <c r="C15" s="244"/>
      <c r="D15" s="265"/>
      <c r="E15" s="265"/>
      <c r="F15" s="262"/>
      <c r="G15" s="270"/>
      <c r="H15" s="21"/>
      <c r="I15" s="23"/>
      <c r="J15" s="243"/>
      <c r="K15" s="256"/>
      <c r="L15" s="256"/>
      <c r="M15" s="239"/>
      <c r="N15" s="241"/>
    </row>
    <row r="16" spans="1:14" s="15" customFormat="1" ht="15" customHeight="1">
      <c r="A16" s="268" t="s">
        <v>52</v>
      </c>
      <c r="B16" s="268" t="s">
        <v>52</v>
      </c>
      <c r="C16" s="268" t="s">
        <v>52</v>
      </c>
      <c r="D16" s="264">
        <f>'2020년 세입세출'!E14</f>
        <v>9</v>
      </c>
      <c r="E16" s="264">
        <f>'2020년 세입세출'!F14</f>
        <v>7</v>
      </c>
      <c r="F16" s="261">
        <f t="shared" ref="F16" si="9">E16-D16</f>
        <v>-2</v>
      </c>
      <c r="G16" s="269">
        <f>F16/D16</f>
        <v>-0.22222222222222221</v>
      </c>
      <c r="H16" s="21"/>
      <c r="I16" s="23"/>
      <c r="J16" s="242" t="s">
        <v>36</v>
      </c>
      <c r="K16" s="250">
        <f>SUM('2020년 세입세출'!E75:E78)</f>
        <v>39443</v>
      </c>
      <c r="L16" s="250">
        <f>SUM('2020년 세입세출'!F75:F78)</f>
        <v>41661.5</v>
      </c>
      <c r="M16" s="238">
        <f t="shared" ref="M16" si="10">L16-K16</f>
        <v>2218.5</v>
      </c>
      <c r="N16" s="240">
        <f t="shared" ref="N16" si="11">M16/K16</f>
        <v>5.6245721674314832E-2</v>
      </c>
    </row>
    <row r="17" spans="1:14" s="15" customFormat="1" ht="15" customHeight="1">
      <c r="A17" s="244"/>
      <c r="B17" s="244"/>
      <c r="C17" s="244"/>
      <c r="D17" s="265"/>
      <c r="E17" s="265"/>
      <c r="F17" s="262"/>
      <c r="G17" s="270"/>
      <c r="H17" s="21"/>
      <c r="I17" s="23"/>
      <c r="J17" s="244"/>
      <c r="K17" s="256"/>
      <c r="L17" s="256"/>
      <c r="M17" s="239"/>
      <c r="N17" s="241"/>
    </row>
    <row r="18" spans="1:14" s="15" customFormat="1" ht="15" customHeight="1">
      <c r="A18" s="242" t="s">
        <v>34</v>
      </c>
      <c r="B18" s="242" t="s">
        <v>34</v>
      </c>
      <c r="C18" s="242" t="s">
        <v>34</v>
      </c>
      <c r="D18" s="264">
        <f>'2020년 세입세출'!E16</f>
        <v>143</v>
      </c>
      <c r="E18" s="264">
        <f>'2020년 세입세출'!F16</f>
        <v>150</v>
      </c>
      <c r="F18" s="261">
        <f t="shared" ref="F18" si="12">E18-D18</f>
        <v>7</v>
      </c>
      <c r="G18" s="269">
        <f t="shared" ref="G18" si="13">F18/D18</f>
        <v>4.8951048951048952E-2</v>
      </c>
      <c r="H18" s="273"/>
      <c r="I18" s="263"/>
      <c r="J18" s="242" t="s">
        <v>37</v>
      </c>
      <c r="K18" s="250">
        <f>SUM('2020년 세입세출'!E82:E85)</f>
        <v>48262</v>
      </c>
      <c r="L18" s="250">
        <f>SUM('2020년 세입세출'!F82:F85)</f>
        <v>51622.8</v>
      </c>
      <c r="M18" s="238">
        <f t="shared" ref="M18" si="14">L18-K18</f>
        <v>3360.8000000000029</v>
      </c>
      <c r="N18" s="240">
        <f t="shared" ref="N18" si="15">M18/K18</f>
        <v>6.9636567071401992E-2</v>
      </c>
    </row>
    <row r="19" spans="1:14" s="15" customFormat="1" ht="15" customHeight="1">
      <c r="A19" s="244"/>
      <c r="B19" s="244"/>
      <c r="C19" s="244"/>
      <c r="D19" s="265"/>
      <c r="E19" s="265"/>
      <c r="F19" s="262"/>
      <c r="G19" s="270"/>
      <c r="H19" s="273"/>
      <c r="I19" s="263"/>
      <c r="J19" s="244"/>
      <c r="K19" s="256"/>
      <c r="L19" s="256"/>
      <c r="M19" s="239"/>
      <c r="N19" s="241"/>
    </row>
    <row r="20" spans="1:14" s="15" customFormat="1" ht="15" customHeight="1">
      <c r="A20" s="214"/>
      <c r="B20" s="214"/>
      <c r="C20" s="214"/>
      <c r="D20" s="276"/>
      <c r="E20" s="276"/>
      <c r="F20" s="271"/>
      <c r="G20" s="272"/>
      <c r="H20" s="215"/>
      <c r="I20" s="214"/>
      <c r="J20" s="277" t="s">
        <v>38</v>
      </c>
      <c r="K20" s="250">
        <f>SUM('2020년 세입세출'!E72:E74)</f>
        <v>3534</v>
      </c>
      <c r="L20" s="250">
        <f>SUM('2020년 세입세출'!F72:F74)</f>
        <v>910</v>
      </c>
      <c r="M20" s="238">
        <f t="shared" ref="M20" si="16">L20-K20</f>
        <v>-2624</v>
      </c>
      <c r="N20" s="240">
        <f t="shared" ref="N20:N26" si="17">M20/K20</f>
        <v>-0.74250141482739107</v>
      </c>
    </row>
    <row r="21" spans="1:14" s="15" customFormat="1" ht="15" customHeight="1">
      <c r="A21" s="214"/>
      <c r="B21" s="214"/>
      <c r="C21" s="214"/>
      <c r="D21" s="276"/>
      <c r="E21" s="276"/>
      <c r="F21" s="271"/>
      <c r="G21" s="272"/>
      <c r="H21" s="215"/>
      <c r="I21" s="214"/>
      <c r="J21" s="278"/>
      <c r="K21" s="256"/>
      <c r="L21" s="256"/>
      <c r="M21" s="239"/>
      <c r="N21" s="241"/>
    </row>
    <row r="22" spans="1:14" s="15" customFormat="1" ht="15" customHeight="1">
      <c r="A22" s="274"/>
      <c r="B22" s="274"/>
      <c r="C22" s="274"/>
      <c r="D22" s="275"/>
      <c r="E22" s="276"/>
      <c r="F22" s="271"/>
      <c r="G22" s="272"/>
      <c r="H22" s="273"/>
      <c r="I22" s="245" t="s">
        <v>39</v>
      </c>
      <c r="J22" s="245"/>
      <c r="K22" s="279">
        <f>SUM(K24:K29)</f>
        <v>3996</v>
      </c>
      <c r="L22" s="279">
        <f>SUM(L24:L29)</f>
        <v>3096</v>
      </c>
      <c r="M22" s="238">
        <f t="shared" ref="M22" si="18">L22-K22</f>
        <v>-900</v>
      </c>
      <c r="N22" s="240">
        <f t="shared" si="17"/>
        <v>-0.22522522522522523</v>
      </c>
    </row>
    <row r="23" spans="1:14" s="15" customFormat="1" ht="15" customHeight="1">
      <c r="A23" s="274"/>
      <c r="B23" s="274"/>
      <c r="C23" s="274"/>
      <c r="D23" s="275"/>
      <c r="E23" s="276"/>
      <c r="F23" s="271"/>
      <c r="G23" s="272"/>
      <c r="H23" s="273"/>
      <c r="I23" s="243"/>
      <c r="J23" s="263"/>
      <c r="K23" s="280"/>
      <c r="L23" s="280"/>
      <c r="M23" s="239"/>
      <c r="N23" s="241"/>
    </row>
    <row r="24" spans="1:14" s="15" customFormat="1" ht="15" hidden="1" customHeight="1">
      <c r="A24" s="26"/>
      <c r="B24" s="27"/>
      <c r="C24" s="27"/>
      <c r="D24" s="27"/>
      <c r="E24" s="27"/>
      <c r="F24" s="27"/>
      <c r="G24" s="28"/>
      <c r="H24" s="29"/>
      <c r="I24" s="46"/>
      <c r="J24" s="245" t="s">
        <v>40</v>
      </c>
      <c r="K24" s="250">
        <f>'2020년 세입세출'!E97</f>
        <v>0</v>
      </c>
      <c r="L24" s="250">
        <f>'2020년 세입세출'!F97</f>
        <v>0</v>
      </c>
      <c r="M24" s="238">
        <f t="shared" ref="M24" si="19">L24-K24</f>
        <v>0</v>
      </c>
      <c r="N24" s="240" t="e">
        <f t="shared" si="17"/>
        <v>#DIV/0!</v>
      </c>
    </row>
    <row r="25" spans="1:14" s="15" customFormat="1" ht="15" hidden="1" customHeight="1">
      <c r="A25" s="26"/>
      <c r="B25" s="27"/>
      <c r="C25" s="27"/>
      <c r="D25" s="27"/>
      <c r="E25" s="27"/>
      <c r="F25" s="27"/>
      <c r="G25" s="28"/>
      <c r="H25" s="29"/>
      <c r="I25" s="47"/>
      <c r="J25" s="243"/>
      <c r="K25" s="256"/>
      <c r="L25" s="256"/>
      <c r="M25" s="239"/>
      <c r="N25" s="241"/>
    </row>
    <row r="26" spans="1:14" s="15" customFormat="1" ht="15" customHeight="1">
      <c r="A26" s="27"/>
      <c r="B26" s="27"/>
      <c r="C26" s="27"/>
      <c r="D26" s="27"/>
      <c r="E26" s="27"/>
      <c r="F26" s="27"/>
      <c r="G26" s="28"/>
      <c r="H26" s="29"/>
      <c r="I26" s="32"/>
      <c r="J26" s="242" t="s">
        <v>41</v>
      </c>
      <c r="K26" s="250">
        <f>'2020년 세입세출'!E99</f>
        <v>3996</v>
      </c>
      <c r="L26" s="250">
        <f>'2020년 세입세출'!F99</f>
        <v>3096</v>
      </c>
      <c r="M26" s="238">
        <f>L26-K26</f>
        <v>-900</v>
      </c>
      <c r="N26" s="240">
        <f t="shared" si="17"/>
        <v>-0.22522522522522523</v>
      </c>
    </row>
    <row r="27" spans="1:14" s="15" customFormat="1" ht="15" customHeight="1">
      <c r="A27" s="34"/>
      <c r="B27" s="34"/>
      <c r="C27" s="34"/>
      <c r="D27" s="34"/>
      <c r="E27" s="34"/>
      <c r="F27" s="34"/>
      <c r="G27" s="35"/>
      <c r="H27" s="472"/>
      <c r="I27" s="473"/>
      <c r="J27" s="243"/>
      <c r="K27" s="256"/>
      <c r="L27" s="256"/>
      <c r="M27" s="239"/>
      <c r="N27" s="241"/>
    </row>
    <row r="28" spans="1:14" s="15" customFormat="1" ht="16.5" hidden="1" customHeight="1">
      <c r="A28" s="27"/>
      <c r="B28" s="27"/>
      <c r="C28" s="27"/>
      <c r="D28" s="27"/>
      <c r="E28" s="27"/>
      <c r="F28" s="27"/>
      <c r="G28" s="28"/>
      <c r="H28" s="29"/>
      <c r="I28" s="32"/>
      <c r="J28" s="469" t="s">
        <v>11</v>
      </c>
      <c r="K28" s="470">
        <v>0</v>
      </c>
      <c r="L28" s="470">
        <v>0</v>
      </c>
      <c r="M28" s="271">
        <f>L28-K28</f>
        <v>0</v>
      </c>
      <c r="N28" s="471">
        <v>1</v>
      </c>
    </row>
    <row r="29" spans="1:14" s="15" customFormat="1" ht="16.5" hidden="1" customHeight="1">
      <c r="A29" s="27"/>
      <c r="B29" s="27"/>
      <c r="C29" s="27"/>
      <c r="D29" s="27"/>
      <c r="E29" s="27"/>
      <c r="F29" s="27"/>
      <c r="G29" s="28"/>
      <c r="H29" s="33"/>
      <c r="I29" s="32"/>
      <c r="J29" s="243"/>
      <c r="K29" s="256"/>
      <c r="L29" s="256"/>
      <c r="M29" s="239"/>
      <c r="N29" s="241"/>
    </row>
    <row r="30" spans="1:14" s="15" customFormat="1" ht="16.5" hidden="1" customHeight="1">
      <c r="A30" s="27"/>
      <c r="B30" s="27"/>
      <c r="C30" s="27"/>
      <c r="D30" s="27"/>
      <c r="E30" s="27"/>
      <c r="F30" s="27"/>
      <c r="G30" s="28"/>
      <c r="H30" s="283" t="s">
        <v>44</v>
      </c>
      <c r="I30" s="245" t="s">
        <v>45</v>
      </c>
      <c r="J30" s="30"/>
      <c r="K30" s="264">
        <f>SUM(K36:K39)</f>
        <v>0</v>
      </c>
      <c r="L30" s="264">
        <f>SUM(L36:L39)</f>
        <v>0</v>
      </c>
      <c r="M30" s="238">
        <f t="shared" ref="M30" si="20">L30-K30</f>
        <v>0</v>
      </c>
      <c r="N30" s="240" t="e">
        <f>M30/K30</f>
        <v>#DIV/0!</v>
      </c>
    </row>
    <row r="31" spans="1:14" s="15" customFormat="1" ht="16.5" hidden="1" customHeight="1">
      <c r="A31" s="34"/>
      <c r="B31" s="34"/>
      <c r="C31" s="34"/>
      <c r="D31" s="34"/>
      <c r="E31" s="34"/>
      <c r="F31" s="34"/>
      <c r="G31" s="35"/>
      <c r="H31" s="284"/>
      <c r="I31" s="243"/>
      <c r="J31" s="31"/>
      <c r="K31" s="285"/>
      <c r="L31" s="285"/>
      <c r="M31" s="239"/>
      <c r="N31" s="241"/>
    </row>
    <row r="32" spans="1:14" s="15" customFormat="1" ht="17.25" customHeight="1">
      <c r="A32" s="36" t="s">
        <v>42</v>
      </c>
      <c r="B32" s="37"/>
      <c r="C32" s="38"/>
      <c r="D32" s="39"/>
      <c r="E32" s="39"/>
      <c r="F32" s="39"/>
      <c r="G32" s="39"/>
      <c r="H32" s="37"/>
      <c r="I32" s="37"/>
      <c r="J32" s="37"/>
      <c r="K32" s="37"/>
      <c r="L32" s="37"/>
      <c r="M32" s="40"/>
      <c r="N32" s="41" t="s">
        <v>43</v>
      </c>
    </row>
    <row r="33" spans="1:14" s="15" customFormat="1" ht="17.25" customHeight="1">
      <c r="A33" s="281" t="s">
        <v>19</v>
      </c>
      <c r="B33" s="281"/>
      <c r="C33" s="281"/>
      <c r="D33" s="281"/>
      <c r="E33" s="281"/>
      <c r="F33" s="281"/>
      <c r="G33" s="282"/>
      <c r="H33" s="230" t="s">
        <v>20</v>
      </c>
      <c r="I33" s="229"/>
      <c r="J33" s="229"/>
      <c r="K33" s="229"/>
      <c r="L33" s="229"/>
      <c r="M33" s="229"/>
      <c r="N33" s="231"/>
    </row>
    <row r="34" spans="1:14" s="15" customFormat="1" ht="17.25" customHeight="1">
      <c r="A34" s="232" t="s">
        <v>21</v>
      </c>
      <c r="B34" s="232" t="s">
        <v>22</v>
      </c>
      <c r="C34" s="232" t="s">
        <v>23</v>
      </c>
      <c r="D34" s="234" t="s">
        <v>227</v>
      </c>
      <c r="E34" s="234" t="s">
        <v>228</v>
      </c>
      <c r="F34" s="235" t="s">
        <v>24</v>
      </c>
      <c r="G34" s="229"/>
      <c r="H34" s="236" t="s">
        <v>21</v>
      </c>
      <c r="I34" s="232" t="s">
        <v>22</v>
      </c>
      <c r="J34" s="232" t="s">
        <v>23</v>
      </c>
      <c r="K34" s="234" t="s">
        <v>227</v>
      </c>
      <c r="L34" s="234" t="s">
        <v>228</v>
      </c>
      <c r="M34" s="235" t="s">
        <v>24</v>
      </c>
      <c r="N34" s="231"/>
    </row>
    <row r="35" spans="1:14" s="15" customFormat="1" ht="17.25" customHeight="1">
      <c r="A35" s="233"/>
      <c r="B35" s="233"/>
      <c r="C35" s="233"/>
      <c r="D35" s="233"/>
      <c r="E35" s="233"/>
      <c r="F35" s="16" t="s">
        <v>25</v>
      </c>
      <c r="G35" s="16" t="s">
        <v>26</v>
      </c>
      <c r="H35" s="237"/>
      <c r="I35" s="233"/>
      <c r="J35" s="233"/>
      <c r="K35" s="233"/>
      <c r="L35" s="233"/>
      <c r="M35" s="16" t="s">
        <v>25</v>
      </c>
      <c r="N35" s="17" t="s">
        <v>26</v>
      </c>
    </row>
    <row r="36" spans="1:14" s="15" customFormat="1" ht="16.5" hidden="1" customHeight="1">
      <c r="A36" s="27"/>
      <c r="B36" s="27"/>
      <c r="C36" s="27"/>
      <c r="D36" s="27"/>
      <c r="E36" s="27"/>
      <c r="F36" s="27"/>
      <c r="G36" s="28"/>
      <c r="H36" s="42"/>
      <c r="I36" s="20"/>
      <c r="J36" s="245" t="s">
        <v>46</v>
      </c>
      <c r="K36" s="264">
        <v>0</v>
      </c>
      <c r="L36" s="264">
        <v>0</v>
      </c>
      <c r="M36" s="238">
        <f t="shared" ref="M36" si="21">L36-K36</f>
        <v>0</v>
      </c>
      <c r="N36" s="240" t="e">
        <f t="shared" ref="N36:N48" si="22">M36/K36</f>
        <v>#DIV/0!</v>
      </c>
    </row>
    <row r="37" spans="1:14" s="15" customFormat="1" ht="16.5" hidden="1" customHeight="1">
      <c r="A37" s="27"/>
      <c r="B37" s="27"/>
      <c r="C37" s="27"/>
      <c r="D37" s="27"/>
      <c r="E37" s="27"/>
      <c r="F37" s="27"/>
      <c r="G37" s="28"/>
      <c r="H37" s="42"/>
      <c r="I37" s="20"/>
      <c r="J37" s="243"/>
      <c r="K37" s="265"/>
      <c r="L37" s="265"/>
      <c r="M37" s="239"/>
      <c r="N37" s="241"/>
    </row>
    <row r="38" spans="1:14" s="15" customFormat="1" ht="16.5" hidden="1" customHeight="1">
      <c r="A38" s="27"/>
      <c r="B38" s="27"/>
      <c r="C38" s="27"/>
      <c r="D38" s="27"/>
      <c r="E38" s="27"/>
      <c r="F38" s="27"/>
      <c r="G38" s="28"/>
      <c r="H38" s="33"/>
      <c r="I38" s="43"/>
      <c r="J38" s="242" t="s">
        <v>47</v>
      </c>
      <c r="K38" s="264">
        <v>0</v>
      </c>
      <c r="L38" s="264">
        <v>0</v>
      </c>
      <c r="M38" s="238">
        <f t="shared" ref="M38" si="23">L38-K38</f>
        <v>0</v>
      </c>
      <c r="N38" s="240" t="e">
        <f t="shared" si="22"/>
        <v>#DIV/0!</v>
      </c>
    </row>
    <row r="39" spans="1:14" s="15" customFormat="1" ht="19.5" hidden="1" customHeight="1">
      <c r="A39" s="27"/>
      <c r="B39" s="27"/>
      <c r="C39" s="27"/>
      <c r="D39" s="27"/>
      <c r="E39" s="27"/>
      <c r="F39" s="27"/>
      <c r="G39" s="28"/>
      <c r="H39" s="33"/>
      <c r="I39" s="43"/>
      <c r="J39" s="243"/>
      <c r="K39" s="285"/>
      <c r="L39" s="265"/>
      <c r="M39" s="239"/>
      <c r="N39" s="241"/>
    </row>
    <row r="40" spans="1:14" s="15" customFormat="1" ht="16.5" customHeight="1">
      <c r="A40" s="27"/>
      <c r="B40" s="27"/>
      <c r="C40" s="27"/>
      <c r="D40" s="27"/>
      <c r="E40" s="27"/>
      <c r="F40" s="27"/>
      <c r="G40" s="28"/>
      <c r="H40" s="252" t="s">
        <v>48</v>
      </c>
      <c r="I40" s="245" t="s">
        <v>48</v>
      </c>
      <c r="J40" s="30"/>
      <c r="K40" s="264">
        <f>SUM(K42+K44+K46)</f>
        <v>167872</v>
      </c>
      <c r="L40" s="264">
        <f>SUM(L42+L44+L46)</f>
        <v>173374.8</v>
      </c>
      <c r="M40" s="238">
        <f t="shared" ref="M40" si="24">L40-K40</f>
        <v>5502.7999999999884</v>
      </c>
      <c r="N40" s="240">
        <f t="shared" si="22"/>
        <v>3.2779736942432261E-2</v>
      </c>
    </row>
    <row r="41" spans="1:14" s="15" customFormat="1" ht="16.5" customHeight="1">
      <c r="A41" s="27"/>
      <c r="B41" s="27"/>
      <c r="C41" s="27"/>
      <c r="D41" s="27"/>
      <c r="E41" s="27"/>
      <c r="F41" s="27"/>
      <c r="G41" s="28"/>
      <c r="H41" s="253"/>
      <c r="I41" s="243"/>
      <c r="J41" s="31"/>
      <c r="K41" s="285"/>
      <c r="L41" s="285"/>
      <c r="M41" s="239"/>
      <c r="N41" s="241"/>
    </row>
    <row r="42" spans="1:14" s="15" customFormat="1" ht="16.5" customHeight="1">
      <c r="A42" s="27"/>
      <c r="B42" s="27"/>
      <c r="C42" s="27"/>
      <c r="D42" s="27"/>
      <c r="E42" s="27"/>
      <c r="F42" s="27"/>
      <c r="G42" s="28"/>
      <c r="H42" s="33"/>
      <c r="I42" s="32"/>
      <c r="J42" s="242" t="s">
        <v>49</v>
      </c>
      <c r="K42" s="264">
        <f>SUM('2020년 세입세출'!E119:E120)</f>
        <v>105860</v>
      </c>
      <c r="L42" s="264">
        <f>SUM('2020년 세입세출'!F119:F120)</f>
        <v>114260</v>
      </c>
      <c r="M42" s="238">
        <f t="shared" ref="M42" si="25">L42-K42</f>
        <v>8400</v>
      </c>
      <c r="N42" s="240">
        <f t="shared" si="22"/>
        <v>7.9350085017948227E-2</v>
      </c>
    </row>
    <row r="43" spans="1:14" s="15" customFormat="1" ht="20.25" customHeight="1">
      <c r="A43" s="27"/>
      <c r="B43" s="27"/>
      <c r="C43" s="27"/>
      <c r="D43" s="27"/>
      <c r="E43" s="27"/>
      <c r="F43" s="27"/>
      <c r="G43" s="28"/>
      <c r="H43" s="29"/>
      <c r="I43" s="32"/>
      <c r="J43" s="263"/>
      <c r="K43" s="285"/>
      <c r="L43" s="285"/>
      <c r="M43" s="239"/>
      <c r="N43" s="241"/>
    </row>
    <row r="44" spans="1:14" s="15" customFormat="1" ht="16.5" customHeight="1">
      <c r="A44" s="27"/>
      <c r="B44" s="27"/>
      <c r="C44" s="27"/>
      <c r="D44" s="27"/>
      <c r="E44" s="27"/>
      <c r="F44" s="27"/>
      <c r="G44" s="28"/>
      <c r="H44" s="33"/>
      <c r="I44" s="32"/>
      <c r="J44" s="242" t="s">
        <v>50</v>
      </c>
      <c r="K44" s="264">
        <f>SUM('2020년 세입세출'!E145:E146)</f>
        <v>18654</v>
      </c>
      <c r="L44" s="264">
        <f>SUM('2020년 세입세출'!F145:F146)</f>
        <v>18364.8</v>
      </c>
      <c r="M44" s="238">
        <f t="shared" ref="M44" si="26">L44-K44</f>
        <v>-289.20000000000073</v>
      </c>
      <c r="N44" s="240">
        <f t="shared" si="22"/>
        <v>-1.5503377291733716E-2</v>
      </c>
    </row>
    <row r="45" spans="1:14" s="15" customFormat="1" ht="20.25" customHeight="1">
      <c r="A45" s="27"/>
      <c r="B45" s="27"/>
      <c r="C45" s="27"/>
      <c r="D45" s="27"/>
      <c r="E45" s="27"/>
      <c r="F45" s="27"/>
      <c r="G45" s="28"/>
      <c r="H45" s="29"/>
      <c r="I45" s="32"/>
      <c r="J45" s="243"/>
      <c r="K45" s="265"/>
      <c r="L45" s="265"/>
      <c r="M45" s="239"/>
      <c r="N45" s="241"/>
    </row>
    <row r="46" spans="1:14" s="15" customFormat="1" ht="17.25" customHeight="1">
      <c r="A46" s="27"/>
      <c r="B46" s="27"/>
      <c r="C46" s="27"/>
      <c r="D46" s="27"/>
      <c r="E46" s="27"/>
      <c r="F46" s="27"/>
      <c r="G46" s="28"/>
      <c r="H46" s="44"/>
      <c r="I46" s="27"/>
      <c r="J46" s="242" t="s">
        <v>51</v>
      </c>
      <c r="K46" s="264">
        <f>SUM('2020년 세입세출'!E196:E197)</f>
        <v>43358</v>
      </c>
      <c r="L46" s="264">
        <f>SUM('2020년 세입세출'!F196:F197)</f>
        <v>40750</v>
      </c>
      <c r="M46" s="238">
        <f>L46-K46</f>
        <v>-2608</v>
      </c>
      <c r="N46" s="240">
        <f>M46/K46</f>
        <v>-6.0150375939849621E-2</v>
      </c>
    </row>
    <row r="47" spans="1:14" s="15" customFormat="1" ht="17.25" customHeight="1">
      <c r="A47" s="27"/>
      <c r="B47" s="27"/>
      <c r="C47" s="27"/>
      <c r="D47" s="27"/>
      <c r="E47" s="27"/>
      <c r="F47" s="27"/>
      <c r="G47" s="28"/>
      <c r="H47" s="29"/>
      <c r="I47" s="32"/>
      <c r="J47" s="243"/>
      <c r="K47" s="285"/>
      <c r="L47" s="285"/>
      <c r="M47" s="239"/>
      <c r="N47" s="241"/>
    </row>
    <row r="48" spans="1:14" s="15" customFormat="1" ht="33.75" customHeight="1">
      <c r="A48" s="27"/>
      <c r="B48" s="27"/>
      <c r="C48" s="27"/>
      <c r="D48" s="27"/>
      <c r="E48" s="27"/>
      <c r="F48" s="27"/>
      <c r="G48" s="28"/>
      <c r="H48" s="61" t="s">
        <v>53</v>
      </c>
      <c r="I48" s="60" t="s">
        <v>53</v>
      </c>
      <c r="J48" s="55"/>
      <c r="K48" s="56">
        <f>SUM(K49:K50)</f>
        <v>3000</v>
      </c>
      <c r="L48" s="56">
        <f>SUM(L49:L50)</f>
        <v>1000</v>
      </c>
      <c r="M48" s="57">
        <f>L48-K48</f>
        <v>-2000</v>
      </c>
      <c r="N48" s="474">
        <f>M48/K48</f>
        <v>-0.66666666666666663</v>
      </c>
    </row>
    <row r="49" spans="1:14" s="15" customFormat="1" ht="33.75" customHeight="1">
      <c r="A49" s="27"/>
      <c r="B49" s="27"/>
      <c r="C49" s="27"/>
      <c r="D49" s="27"/>
      <c r="E49" s="27"/>
      <c r="F49" s="27"/>
      <c r="G49" s="28"/>
      <c r="H49" s="62"/>
      <c r="I49" s="58"/>
      <c r="J49" s="59" t="s">
        <v>16</v>
      </c>
      <c r="K49" s="56">
        <f>SUM('2020년 세입세출'!E211:E212)</f>
        <v>2930</v>
      </c>
      <c r="L49" s="56">
        <f>SUM('2020년 세입세출'!F211:F212)</f>
        <v>930</v>
      </c>
      <c r="M49" s="57">
        <f t="shared" ref="M49:M50" si="27">L49-K49</f>
        <v>-2000</v>
      </c>
      <c r="N49" s="474">
        <f t="shared" ref="N49:N50" si="28">M49/K49</f>
        <v>-0.68259385665529015</v>
      </c>
    </row>
    <row r="50" spans="1:14" s="15" customFormat="1" ht="33.75" customHeight="1">
      <c r="A50" s="34"/>
      <c r="B50" s="34"/>
      <c r="C50" s="34"/>
      <c r="D50" s="34"/>
      <c r="E50" s="34"/>
      <c r="F50" s="34"/>
      <c r="G50" s="35"/>
      <c r="H50" s="62"/>
      <c r="I50" s="58"/>
      <c r="J50" s="59" t="s">
        <v>15</v>
      </c>
      <c r="K50" s="56">
        <f>SUM('2020년 세입세출'!E213:E214)</f>
        <v>70</v>
      </c>
      <c r="L50" s="56">
        <f>SUM('2020년 세입세출'!F213:F214)</f>
        <v>70</v>
      </c>
      <c r="M50" s="57">
        <f t="shared" si="27"/>
        <v>0</v>
      </c>
      <c r="N50" s="474">
        <f t="shared" si="28"/>
        <v>0</v>
      </c>
    </row>
    <row r="51" spans="1:14" s="15" customFormat="1" ht="36" customHeight="1">
      <c r="A51" s="48"/>
      <c r="B51" s="48"/>
      <c r="C51" s="48"/>
      <c r="D51" s="48"/>
      <c r="E51" s="48"/>
      <c r="F51" s="48"/>
      <c r="G51" s="48"/>
      <c r="H51" s="49"/>
      <c r="I51" s="49"/>
      <c r="J51" s="50"/>
      <c r="K51" s="51"/>
      <c r="L51" s="52"/>
      <c r="M51" s="53"/>
      <c r="N51" s="54"/>
    </row>
    <row r="52" spans="1:14" s="15" customFormat="1" ht="36" customHeight="1">
      <c r="A52" s="48"/>
      <c r="B52" s="48"/>
      <c r="C52" s="48"/>
      <c r="D52" s="48"/>
      <c r="E52" s="48"/>
      <c r="F52" s="48"/>
      <c r="G52" s="48"/>
      <c r="H52" s="49"/>
      <c r="I52" s="49"/>
      <c r="J52" s="50"/>
      <c r="K52" s="51"/>
      <c r="L52" s="52"/>
      <c r="M52" s="53"/>
      <c r="N52" s="54"/>
    </row>
    <row r="53" spans="1:14" s="15" customFormat="1" ht="36" customHeight="1">
      <c r="A53" s="48"/>
      <c r="B53" s="48"/>
      <c r="C53" s="48"/>
      <c r="D53" s="48"/>
      <c r="E53" s="48"/>
      <c r="F53" s="48"/>
      <c r="G53" s="48"/>
      <c r="H53" s="49"/>
      <c r="I53" s="49"/>
      <c r="J53" s="50"/>
      <c r="K53" s="51"/>
      <c r="L53" s="52"/>
      <c r="M53" s="53"/>
      <c r="N53" s="54"/>
    </row>
  </sheetData>
  <mergeCells count="191">
    <mergeCell ref="J46:J47"/>
    <mergeCell ref="K46:K47"/>
    <mergeCell ref="L46:L47"/>
    <mergeCell ref="M46:M47"/>
    <mergeCell ref="N46:N47"/>
    <mergeCell ref="N40:N41"/>
    <mergeCell ref="J42:J43"/>
    <mergeCell ref="K42:K43"/>
    <mergeCell ref="N24:N25"/>
    <mergeCell ref="N44:N45"/>
    <mergeCell ref="N42:N43"/>
    <mergeCell ref="N38:N39"/>
    <mergeCell ref="N36:N37"/>
    <mergeCell ref="N26:N27"/>
    <mergeCell ref="J28:J29"/>
    <mergeCell ref="K28:K29"/>
    <mergeCell ref="L28:L29"/>
    <mergeCell ref="M28:M29"/>
    <mergeCell ref="N28:N29"/>
    <mergeCell ref="J24:J25"/>
    <mergeCell ref="K24:K25"/>
    <mergeCell ref="L24:L25"/>
    <mergeCell ref="M24:M25"/>
    <mergeCell ref="J44:J45"/>
    <mergeCell ref="J34:J35"/>
    <mergeCell ref="K34:K35"/>
    <mergeCell ref="L34:L35"/>
    <mergeCell ref="M34:N34"/>
    <mergeCell ref="K44:K45"/>
    <mergeCell ref="L44:L45"/>
    <mergeCell ref="M44:M45"/>
    <mergeCell ref="L42:L43"/>
    <mergeCell ref="M42:M43"/>
    <mergeCell ref="J38:J39"/>
    <mergeCell ref="K38:K39"/>
    <mergeCell ref="L38:L39"/>
    <mergeCell ref="M38:M39"/>
    <mergeCell ref="H40:H41"/>
    <mergeCell ref="I40:I41"/>
    <mergeCell ref="K40:K41"/>
    <mergeCell ref="L40:L41"/>
    <mergeCell ref="M40:M41"/>
    <mergeCell ref="J36:J37"/>
    <mergeCell ref="K36:K37"/>
    <mergeCell ref="L36:L37"/>
    <mergeCell ref="M36:M37"/>
    <mergeCell ref="M22:M23"/>
    <mergeCell ref="N22:N23"/>
    <mergeCell ref="D20:D21"/>
    <mergeCell ref="E20:E21"/>
    <mergeCell ref="N30:N31"/>
    <mergeCell ref="A34:A35"/>
    <mergeCell ref="B34:B35"/>
    <mergeCell ref="C34:C35"/>
    <mergeCell ref="D34:D35"/>
    <mergeCell ref="E34:E35"/>
    <mergeCell ref="F34:G34"/>
    <mergeCell ref="A33:G33"/>
    <mergeCell ref="H33:N33"/>
    <mergeCell ref="J26:J27"/>
    <mergeCell ref="K26:K27"/>
    <mergeCell ref="L26:L27"/>
    <mergeCell ref="M26:M27"/>
    <mergeCell ref="H30:H31"/>
    <mergeCell ref="I30:I31"/>
    <mergeCell ref="K30:K31"/>
    <mergeCell ref="L30:L31"/>
    <mergeCell ref="M30:M31"/>
    <mergeCell ref="H34:H35"/>
    <mergeCell ref="I34:I35"/>
    <mergeCell ref="M18:M19"/>
    <mergeCell ref="G18:G19"/>
    <mergeCell ref="H18:H19"/>
    <mergeCell ref="I18:I19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G14:G15"/>
    <mergeCell ref="J14:J15"/>
    <mergeCell ref="K14:K15"/>
    <mergeCell ref="L14:L15"/>
    <mergeCell ref="F20:F21"/>
    <mergeCell ref="G20:G21"/>
    <mergeCell ref="J22:J23"/>
    <mergeCell ref="J18:J19"/>
    <mergeCell ref="K18:K19"/>
    <mergeCell ref="L18:L19"/>
    <mergeCell ref="I10:I11"/>
    <mergeCell ref="J10:J11"/>
    <mergeCell ref="K10:K11"/>
    <mergeCell ref="L10:L11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L6:L7"/>
    <mergeCell ref="J8:J9"/>
    <mergeCell ref="K8:K9"/>
    <mergeCell ref="L8:L9"/>
    <mergeCell ref="M14:M15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M8:M9"/>
    <mergeCell ref="A6:A7"/>
    <mergeCell ref="B6:B7"/>
    <mergeCell ref="C6:C7"/>
    <mergeCell ref="D6:D7"/>
    <mergeCell ref="E6:E7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38"/>
  <sheetViews>
    <sheetView tabSelected="1" zoomScaleNormal="100" workbookViewId="0">
      <selection activeCell="T10" sqref="T10"/>
    </sheetView>
  </sheetViews>
  <sheetFormatPr defaultColWidth="9" defaultRowHeight="13.5"/>
  <cols>
    <col min="1" max="2" width="5.375" style="5" customWidth="1"/>
    <col min="3" max="3" width="7.5" style="5" customWidth="1"/>
    <col min="4" max="4" width="9.375" style="5" customWidth="1"/>
    <col min="5" max="5" width="8.625" style="65" customWidth="1"/>
    <col min="6" max="6" width="8" style="65" customWidth="1"/>
    <col min="7" max="7" width="7.625" style="66" customWidth="1"/>
    <col min="8" max="8" width="7.5" style="67" customWidth="1"/>
    <col min="9" max="9" width="27.75" style="5" customWidth="1"/>
    <col min="10" max="10" width="11.625" style="5" customWidth="1"/>
    <col min="11" max="11" width="3" style="5" customWidth="1"/>
    <col min="12" max="12" width="8.125" style="5" customWidth="1"/>
    <col min="13" max="13" width="4.375" style="5" customWidth="1"/>
    <col min="14" max="14" width="3.625" style="5" customWidth="1"/>
    <col min="15" max="15" width="4.625" style="5" customWidth="1"/>
    <col min="16" max="16" width="4" style="5" customWidth="1"/>
    <col min="17" max="17" width="3.375" style="5" customWidth="1"/>
    <col min="18" max="18" width="11.375" style="5" customWidth="1"/>
    <col min="19" max="19" width="11.25" style="5" bestFit="1" customWidth="1"/>
    <col min="20" max="20" width="10.625" style="5" customWidth="1"/>
    <col min="21" max="21" width="11.25" style="5" bestFit="1" customWidth="1"/>
    <col min="22" max="16384" width="9" style="5"/>
  </cols>
  <sheetData>
    <row r="1" spans="1:18">
      <c r="A1" s="313" t="s">
        <v>274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1:18">
      <c r="A2" s="68" t="s">
        <v>56</v>
      </c>
      <c r="R2" s="69" t="s">
        <v>57</v>
      </c>
    </row>
    <row r="3" spans="1:18" ht="25.5" customHeight="1">
      <c r="A3" s="315" t="s">
        <v>58</v>
      </c>
      <c r="B3" s="315" t="s">
        <v>59</v>
      </c>
      <c r="C3" s="315" t="s">
        <v>60</v>
      </c>
      <c r="D3" s="316" t="s">
        <v>61</v>
      </c>
      <c r="E3" s="70" t="s">
        <v>229</v>
      </c>
      <c r="F3" s="70" t="s">
        <v>231</v>
      </c>
      <c r="G3" s="317" t="s">
        <v>62</v>
      </c>
      <c r="H3" s="318"/>
      <c r="I3" s="319" t="s">
        <v>63</v>
      </c>
      <c r="J3" s="320"/>
      <c r="K3" s="320"/>
      <c r="L3" s="320"/>
      <c r="M3" s="320"/>
      <c r="N3" s="320"/>
      <c r="O3" s="320"/>
      <c r="P3" s="320"/>
      <c r="Q3" s="320"/>
      <c r="R3" s="321"/>
    </row>
    <row r="4" spans="1:18" ht="24" customHeight="1">
      <c r="A4" s="322"/>
      <c r="B4" s="322"/>
      <c r="C4" s="322"/>
      <c r="D4" s="323"/>
      <c r="E4" s="70" t="s">
        <v>230</v>
      </c>
      <c r="F4" s="70" t="s">
        <v>232</v>
      </c>
      <c r="G4" s="118" t="s">
        <v>64</v>
      </c>
      <c r="H4" s="324" t="s">
        <v>65</v>
      </c>
      <c r="I4" s="325"/>
      <c r="J4" s="326"/>
      <c r="K4" s="326"/>
      <c r="L4" s="326"/>
      <c r="M4" s="326"/>
      <c r="N4" s="326"/>
      <c r="O4" s="326"/>
      <c r="P4" s="326"/>
      <c r="Q4" s="326"/>
      <c r="R4" s="327"/>
    </row>
    <row r="5" spans="1:18" ht="27" customHeight="1">
      <c r="A5" s="328" t="s">
        <v>66</v>
      </c>
      <c r="B5" s="328"/>
      <c r="C5" s="328" t="s">
        <v>67</v>
      </c>
      <c r="D5" s="329"/>
      <c r="E5" s="71">
        <f>E9+E11+E15+E13</f>
        <v>636412</v>
      </c>
      <c r="F5" s="71">
        <f>F9+F11+F15+F13</f>
        <v>654443</v>
      </c>
      <c r="G5" s="330">
        <f>F5+F6-E5-E6</f>
        <v>26097</v>
      </c>
      <c r="H5" s="331">
        <f>G5/E5:E6</f>
        <v>4.1006454937996144E-2</v>
      </c>
      <c r="I5" s="332"/>
      <c r="J5" s="333"/>
      <c r="K5" s="333"/>
      <c r="L5" s="333"/>
      <c r="M5" s="333"/>
      <c r="N5" s="333"/>
      <c r="O5" s="333"/>
      <c r="P5" s="333"/>
      <c r="Q5" s="333"/>
      <c r="R5" s="82"/>
    </row>
    <row r="6" spans="1:18" ht="27" customHeight="1">
      <c r="A6" s="334"/>
      <c r="B6" s="334"/>
      <c r="C6" s="334"/>
      <c r="D6" s="335"/>
      <c r="E6" s="71">
        <f>E10+E12+E16+E14</f>
        <v>105094</v>
      </c>
      <c r="F6" s="71">
        <f>F10+F12+F16+F14</f>
        <v>113160</v>
      </c>
      <c r="G6" s="336"/>
      <c r="H6" s="337"/>
      <c r="I6" s="332"/>
      <c r="J6" s="333"/>
      <c r="K6" s="333"/>
      <c r="L6" s="333"/>
      <c r="M6" s="333"/>
      <c r="N6" s="333"/>
      <c r="O6" s="333"/>
      <c r="P6" s="333"/>
      <c r="Q6" s="333"/>
      <c r="R6" s="82"/>
    </row>
    <row r="7" spans="1:18" ht="27" customHeight="1">
      <c r="A7" s="328" t="s">
        <v>68</v>
      </c>
      <c r="B7" s="328" t="s">
        <v>68</v>
      </c>
      <c r="C7" s="328"/>
      <c r="D7" s="338"/>
      <c r="E7" s="71">
        <f>E9</f>
        <v>636412</v>
      </c>
      <c r="F7" s="72">
        <f>F9</f>
        <v>654443</v>
      </c>
      <c r="G7" s="330"/>
      <c r="H7" s="331"/>
      <c r="I7" s="297"/>
      <c r="J7" s="339"/>
      <c r="K7" s="339"/>
      <c r="L7" s="339"/>
      <c r="M7" s="339"/>
      <c r="N7" s="339"/>
      <c r="O7" s="339"/>
      <c r="P7" s="339"/>
      <c r="Q7" s="339"/>
      <c r="R7" s="340"/>
    </row>
    <row r="8" spans="1:18" ht="27" customHeight="1">
      <c r="A8" s="334"/>
      <c r="B8" s="334"/>
      <c r="C8" s="334"/>
      <c r="D8" s="341"/>
      <c r="E8" s="71">
        <v>0</v>
      </c>
      <c r="F8" s="72">
        <v>0</v>
      </c>
      <c r="G8" s="342"/>
      <c r="H8" s="343"/>
      <c r="I8" s="298"/>
      <c r="J8" s="344"/>
      <c r="K8" s="344"/>
      <c r="L8" s="344"/>
      <c r="M8" s="344"/>
      <c r="N8" s="344"/>
      <c r="O8" s="344"/>
      <c r="P8" s="344"/>
      <c r="Q8" s="344"/>
      <c r="R8" s="345"/>
    </row>
    <row r="9" spans="1:18" ht="27" customHeight="1">
      <c r="A9" s="328"/>
      <c r="B9" s="328"/>
      <c r="C9" s="328" t="s">
        <v>69</v>
      </c>
      <c r="D9" s="338"/>
      <c r="E9" s="72">
        <v>636412</v>
      </c>
      <c r="F9" s="72">
        <f>R9/1000</f>
        <v>654443</v>
      </c>
      <c r="G9" s="330">
        <f>F9+F10-E9-E10</f>
        <v>18031</v>
      </c>
      <c r="H9" s="346">
        <f>G9/E9:E10</f>
        <v>2.8332275318504366E-2</v>
      </c>
      <c r="I9" s="347" t="s">
        <v>70</v>
      </c>
      <c r="J9" s="339"/>
      <c r="K9" s="339"/>
      <c r="L9" s="339"/>
      <c r="M9" s="339"/>
      <c r="N9" s="339"/>
      <c r="O9" s="339"/>
      <c r="P9" s="339"/>
      <c r="Q9" s="339"/>
      <c r="R9" s="348">
        <v>654443000</v>
      </c>
    </row>
    <row r="10" spans="1:18" ht="27" customHeight="1">
      <c r="A10" s="349"/>
      <c r="B10" s="349"/>
      <c r="C10" s="349"/>
      <c r="D10" s="350"/>
      <c r="E10" s="73">
        <v>0</v>
      </c>
      <c r="F10" s="73">
        <v>0</v>
      </c>
      <c r="G10" s="351"/>
      <c r="H10" s="352"/>
      <c r="I10" s="353"/>
      <c r="J10" s="184"/>
      <c r="K10" s="184"/>
      <c r="L10" s="184"/>
      <c r="M10" s="184"/>
      <c r="N10" s="184"/>
      <c r="O10" s="184"/>
      <c r="P10" s="184"/>
      <c r="Q10" s="184"/>
      <c r="R10" s="354"/>
    </row>
    <row r="11" spans="1:18" ht="27" customHeight="1">
      <c r="A11" s="328" t="s">
        <v>71</v>
      </c>
      <c r="B11" s="328" t="s">
        <v>71</v>
      </c>
      <c r="C11" s="328" t="s">
        <v>71</v>
      </c>
      <c r="D11" s="329"/>
      <c r="E11" s="72">
        <v>0</v>
      </c>
      <c r="F11" s="355">
        <v>0</v>
      </c>
      <c r="G11" s="330">
        <f>F11+F12-E11-E12</f>
        <v>8061</v>
      </c>
      <c r="H11" s="346">
        <f>G11/E12</f>
        <v>7.6813859084065489E-2</v>
      </c>
      <c r="I11" s="347" t="s">
        <v>72</v>
      </c>
      <c r="J11" s="339"/>
      <c r="K11" s="339"/>
      <c r="L11" s="339"/>
      <c r="M11" s="339"/>
      <c r="N11" s="339"/>
      <c r="O11" s="339"/>
      <c r="P11" s="339"/>
      <c r="Q11" s="339"/>
      <c r="R11" s="348">
        <f>R21-R15-R13</f>
        <v>113003000</v>
      </c>
    </row>
    <row r="12" spans="1:18" ht="27" customHeight="1">
      <c r="A12" s="334"/>
      <c r="B12" s="334"/>
      <c r="C12" s="334"/>
      <c r="D12" s="341"/>
      <c r="E12" s="72">
        <v>104942</v>
      </c>
      <c r="F12" s="72">
        <f>R11/1000</f>
        <v>113003</v>
      </c>
      <c r="G12" s="342"/>
      <c r="H12" s="352"/>
      <c r="I12" s="356"/>
      <c r="J12" s="344"/>
      <c r="K12" s="344"/>
      <c r="L12" s="344"/>
      <c r="M12" s="344"/>
      <c r="N12" s="344"/>
      <c r="O12" s="344"/>
      <c r="P12" s="344"/>
      <c r="Q12" s="344"/>
      <c r="R12" s="357"/>
    </row>
    <row r="13" spans="1:18" ht="27" customHeight="1">
      <c r="A13" s="358" t="s">
        <v>73</v>
      </c>
      <c r="B13" s="358" t="s">
        <v>73</v>
      </c>
      <c r="C13" s="358" t="s">
        <v>73</v>
      </c>
      <c r="D13" s="359"/>
      <c r="E13" s="72">
        <v>0</v>
      </c>
      <c r="F13" s="72">
        <v>0</v>
      </c>
      <c r="G13" s="360">
        <f>F13+F14-E13-E14</f>
        <v>-2</v>
      </c>
      <c r="H13" s="346">
        <f t="shared" ref="H13" si="0">G13/E14</f>
        <v>-0.22222222222222221</v>
      </c>
      <c r="I13" s="347" t="s">
        <v>74</v>
      </c>
      <c r="J13" s="184"/>
      <c r="K13" s="184"/>
      <c r="L13" s="184"/>
      <c r="M13" s="184"/>
      <c r="N13" s="184"/>
      <c r="O13" s="184"/>
      <c r="P13" s="184"/>
      <c r="Q13" s="184"/>
      <c r="R13" s="348">
        <v>7000</v>
      </c>
    </row>
    <row r="14" spans="1:18" ht="27" customHeight="1">
      <c r="A14" s="358"/>
      <c r="B14" s="358"/>
      <c r="C14" s="358"/>
      <c r="D14" s="359"/>
      <c r="E14" s="72">
        <v>9</v>
      </c>
      <c r="F14" s="72">
        <f>R13/1000</f>
        <v>7</v>
      </c>
      <c r="G14" s="342"/>
      <c r="H14" s="352"/>
      <c r="I14" s="356"/>
      <c r="J14" s="184"/>
      <c r="K14" s="184"/>
      <c r="L14" s="184"/>
      <c r="M14" s="184"/>
      <c r="N14" s="184"/>
      <c r="O14" s="184"/>
      <c r="P14" s="184"/>
      <c r="Q14" s="184"/>
      <c r="R14" s="357"/>
    </row>
    <row r="15" spans="1:18" ht="27" customHeight="1">
      <c r="A15" s="349" t="s">
        <v>75</v>
      </c>
      <c r="B15" s="361" t="s">
        <v>75</v>
      </c>
      <c r="C15" s="349" t="s">
        <v>75</v>
      </c>
      <c r="D15" s="362"/>
      <c r="E15" s="72">
        <v>0</v>
      </c>
      <c r="F15" s="355">
        <v>0</v>
      </c>
      <c r="G15" s="330">
        <f>F15+F16-E15-E16</f>
        <v>7</v>
      </c>
      <c r="H15" s="346">
        <f t="shared" ref="H15" si="1">G15/E16</f>
        <v>4.8951048951048952E-2</v>
      </c>
      <c r="I15" s="347" t="s">
        <v>76</v>
      </c>
      <c r="J15" s="339"/>
      <c r="K15" s="339"/>
      <c r="L15" s="339"/>
      <c r="M15" s="339"/>
      <c r="N15" s="339"/>
      <c r="O15" s="339"/>
      <c r="P15" s="339"/>
      <c r="Q15" s="339"/>
      <c r="R15" s="348">
        <v>150000</v>
      </c>
    </row>
    <row r="16" spans="1:18" ht="27" customHeight="1">
      <c r="A16" s="334"/>
      <c r="B16" s="363"/>
      <c r="C16" s="334"/>
      <c r="D16" s="341"/>
      <c r="E16" s="72">
        <v>143</v>
      </c>
      <c r="F16" s="72">
        <f>R15/1000</f>
        <v>150</v>
      </c>
      <c r="G16" s="342"/>
      <c r="H16" s="352"/>
      <c r="I16" s="356"/>
      <c r="J16" s="344"/>
      <c r="K16" s="344"/>
      <c r="L16" s="344"/>
      <c r="M16" s="344"/>
      <c r="N16" s="344"/>
      <c r="O16" s="344"/>
      <c r="P16" s="344"/>
      <c r="Q16" s="344"/>
      <c r="R16" s="357"/>
    </row>
    <row r="17" spans="1:21" ht="16.5" customHeight="1">
      <c r="A17" s="68" t="s">
        <v>77</v>
      </c>
      <c r="B17" s="68"/>
      <c r="C17" s="364" t="s">
        <v>78</v>
      </c>
      <c r="D17" s="364"/>
      <c r="E17" s="80"/>
      <c r="F17" s="80"/>
      <c r="G17" s="365"/>
      <c r="H17" s="366"/>
      <c r="I17" s="367"/>
      <c r="J17" s="367"/>
      <c r="K17" s="367"/>
      <c r="L17" s="367"/>
      <c r="M17" s="367"/>
      <c r="N17" s="367"/>
      <c r="O17" s="367"/>
      <c r="P17" s="367"/>
      <c r="Q17" s="367"/>
      <c r="R17" s="69" t="s">
        <v>0</v>
      </c>
    </row>
    <row r="18" spans="1:21" ht="15.75" customHeight="1">
      <c r="A18" s="315" t="s">
        <v>79</v>
      </c>
      <c r="B18" s="315" t="s">
        <v>80</v>
      </c>
      <c r="C18" s="315" t="s">
        <v>81</v>
      </c>
      <c r="D18" s="315" t="s">
        <v>1</v>
      </c>
      <c r="E18" s="70" t="s">
        <v>229</v>
      </c>
      <c r="F18" s="70" t="s">
        <v>231</v>
      </c>
      <c r="G18" s="317" t="s">
        <v>82</v>
      </c>
      <c r="H18" s="318"/>
      <c r="I18" s="319" t="s">
        <v>83</v>
      </c>
      <c r="J18" s="320"/>
      <c r="K18" s="320"/>
      <c r="L18" s="320"/>
      <c r="M18" s="320"/>
      <c r="N18" s="320"/>
      <c r="O18" s="320"/>
      <c r="P18" s="320"/>
      <c r="Q18" s="320"/>
      <c r="R18" s="321"/>
    </row>
    <row r="19" spans="1:21" ht="15" customHeight="1">
      <c r="A19" s="322"/>
      <c r="B19" s="322"/>
      <c r="C19" s="322"/>
      <c r="D19" s="322"/>
      <c r="E19" s="70" t="s">
        <v>230</v>
      </c>
      <c r="F19" s="70" t="s">
        <v>232</v>
      </c>
      <c r="G19" s="118" t="s">
        <v>2</v>
      </c>
      <c r="H19" s="324" t="s">
        <v>84</v>
      </c>
      <c r="I19" s="325"/>
      <c r="J19" s="326"/>
      <c r="K19" s="326"/>
      <c r="L19" s="326"/>
      <c r="M19" s="326"/>
      <c r="N19" s="326"/>
      <c r="O19" s="326"/>
      <c r="P19" s="326"/>
      <c r="Q19" s="326"/>
      <c r="R19" s="327"/>
    </row>
    <row r="20" spans="1:21" ht="16.5" customHeight="1">
      <c r="A20" s="368" t="s">
        <v>85</v>
      </c>
      <c r="B20" s="315"/>
      <c r="C20" s="368" t="s">
        <v>78</v>
      </c>
      <c r="D20" s="369"/>
      <c r="E20" s="79">
        <f>SUM(E22,E94,E107,E115)</f>
        <v>636412</v>
      </c>
      <c r="F20" s="79">
        <f>SUM(F22,F94,F107,F115)</f>
        <v>654443</v>
      </c>
      <c r="G20" s="370">
        <f>F20+F21-E20-E21</f>
        <v>26097</v>
      </c>
      <c r="H20" s="346">
        <f>G20/E20:E21</f>
        <v>4.1006454937996144E-2</v>
      </c>
      <c r="I20" s="371"/>
      <c r="J20" s="371"/>
      <c r="K20" s="371"/>
      <c r="L20" s="371"/>
      <c r="M20" s="371"/>
      <c r="N20" s="371"/>
      <c r="O20" s="371"/>
      <c r="P20" s="371"/>
      <c r="Q20" s="371"/>
      <c r="R20" s="372">
        <f>R22+R107+R115+R207</f>
        <v>654443000</v>
      </c>
    </row>
    <row r="21" spans="1:21" ht="16.5" customHeight="1">
      <c r="A21" s="373"/>
      <c r="B21" s="322"/>
      <c r="C21" s="373"/>
      <c r="D21" s="374"/>
      <c r="E21" s="79">
        <f>SUM(E23,E108,E116,E207)</f>
        <v>105094</v>
      </c>
      <c r="F21" s="79">
        <f>SUM(F23,F108,F116,F207)</f>
        <v>113160</v>
      </c>
      <c r="G21" s="375"/>
      <c r="H21" s="352"/>
      <c r="I21" s="174"/>
      <c r="J21" s="123"/>
      <c r="K21" s="111"/>
      <c r="L21" s="111"/>
      <c r="M21" s="111"/>
      <c r="N21" s="111"/>
      <c r="O21" s="111"/>
      <c r="P21" s="111"/>
      <c r="Q21" s="111"/>
      <c r="R21" s="155">
        <f>R23+R108+R116+R208</f>
        <v>113160000</v>
      </c>
    </row>
    <row r="22" spans="1:21" ht="16.5" customHeight="1">
      <c r="A22" s="368" t="s">
        <v>86</v>
      </c>
      <c r="B22" s="368"/>
      <c r="C22" s="368"/>
      <c r="D22" s="369"/>
      <c r="E22" s="79">
        <f>SUM(E24,E94)</f>
        <v>530308</v>
      </c>
      <c r="F22" s="79">
        <f>SUM(F24,F94)</f>
        <v>546218</v>
      </c>
      <c r="G22" s="370">
        <f>F22+F23-E22-E23</f>
        <v>22594.199999999953</v>
      </c>
      <c r="H22" s="346">
        <f>G22/E22:E23</f>
        <v>4.2605806437013873E-2</v>
      </c>
      <c r="I22" s="107"/>
      <c r="J22" s="4"/>
      <c r="K22" s="107"/>
      <c r="L22" s="107"/>
      <c r="M22" s="107"/>
      <c r="N22" s="107"/>
      <c r="O22" s="107"/>
      <c r="P22" s="107"/>
      <c r="Q22" s="107"/>
      <c r="R22" s="376">
        <f>R24+R94</f>
        <v>546218000</v>
      </c>
    </row>
    <row r="23" spans="1:21" ht="16.5" customHeight="1">
      <c r="A23" s="373"/>
      <c r="B23" s="373"/>
      <c r="C23" s="373"/>
      <c r="D23" s="374"/>
      <c r="E23" s="79">
        <f>SUM(E25,E95)</f>
        <v>40326</v>
      </c>
      <c r="F23" s="79">
        <f>SUM(F25,F95)</f>
        <v>47010.2</v>
      </c>
      <c r="G23" s="375"/>
      <c r="H23" s="352"/>
      <c r="I23" s="111"/>
      <c r="J23" s="123"/>
      <c r="K23" s="111"/>
      <c r="L23" s="111"/>
      <c r="M23" s="111"/>
      <c r="N23" s="111"/>
      <c r="O23" s="111"/>
      <c r="P23" s="111"/>
      <c r="Q23" s="111"/>
      <c r="R23" s="151">
        <f>R25+R95</f>
        <v>47010200</v>
      </c>
    </row>
    <row r="24" spans="1:21" ht="16.5" customHeight="1">
      <c r="A24" s="369"/>
      <c r="B24" s="368" t="s">
        <v>87</v>
      </c>
      <c r="C24" s="377"/>
      <c r="D24" s="377"/>
      <c r="E24" s="79">
        <f>SUM(E26,E58,E72,E75,E82)</f>
        <v>530308</v>
      </c>
      <c r="F24" s="79">
        <f>SUM(F26,F58,F72,F75,F82)</f>
        <v>546218</v>
      </c>
      <c r="G24" s="370">
        <f>F24+F25-E24-E25</f>
        <v>23494.199999999953</v>
      </c>
      <c r="H24" s="346">
        <f>G24/E24:E25</f>
        <v>4.4302933389652716E-2</v>
      </c>
      <c r="I24" s="107"/>
      <c r="J24" s="4"/>
      <c r="K24" s="107"/>
      <c r="L24" s="107"/>
      <c r="M24" s="107"/>
      <c r="N24" s="107"/>
      <c r="O24" s="107"/>
      <c r="P24" s="107"/>
      <c r="Q24" s="107"/>
      <c r="R24" s="141">
        <f>SUM(R54,R70,R77,R92)</f>
        <v>546218000</v>
      </c>
      <c r="S24" s="6"/>
      <c r="T24" s="6"/>
      <c r="U24" s="6"/>
    </row>
    <row r="25" spans="1:21" ht="16.5" customHeight="1">
      <c r="A25" s="378" t="s">
        <v>78</v>
      </c>
      <c r="B25" s="373"/>
      <c r="C25" s="379"/>
      <c r="D25" s="379"/>
      <c r="E25" s="79">
        <f>SUM(E27,E59,E74,E77,E84)</f>
        <v>36330</v>
      </c>
      <c r="F25" s="79">
        <f>SUM(F27,F59,F74,F77,F84)</f>
        <v>43914.2</v>
      </c>
      <c r="G25" s="375"/>
      <c r="H25" s="352"/>
      <c r="I25" s="111"/>
      <c r="J25" s="123"/>
      <c r="K25" s="111"/>
      <c r="L25" s="111"/>
      <c r="M25" s="111"/>
      <c r="N25" s="111"/>
      <c r="O25" s="111"/>
      <c r="P25" s="111"/>
      <c r="Q25" s="111"/>
      <c r="R25" s="132">
        <f>SUM(R71,R74,R78,R93,R53)</f>
        <v>43914200</v>
      </c>
      <c r="S25" s="7"/>
      <c r="T25" s="7"/>
      <c r="U25" s="7"/>
    </row>
    <row r="26" spans="1:21" ht="14.1" customHeight="1">
      <c r="A26" s="378"/>
      <c r="B26" s="378"/>
      <c r="C26" s="368" t="s">
        <v>88</v>
      </c>
      <c r="D26" s="369"/>
      <c r="E26" s="76">
        <v>384141</v>
      </c>
      <c r="F26" s="76">
        <f>R54/1000</f>
        <v>405147</v>
      </c>
      <c r="G26" s="380">
        <f>F26+F27-E26-E27</f>
        <v>19946</v>
      </c>
      <c r="H26" s="381">
        <f>G26/E26:E27</f>
        <v>5.1923642620808508E-2</v>
      </c>
      <c r="I26" s="74" t="s">
        <v>233</v>
      </c>
      <c r="J26" s="83">
        <v>4194000</v>
      </c>
      <c r="K26" s="2" t="s">
        <v>89</v>
      </c>
      <c r="L26" s="2">
        <v>1</v>
      </c>
      <c r="M26" s="1" t="s">
        <v>90</v>
      </c>
      <c r="N26" s="2" t="s">
        <v>91</v>
      </c>
      <c r="O26" s="75">
        <v>2</v>
      </c>
      <c r="P26" s="1" t="s">
        <v>92</v>
      </c>
      <c r="Q26" s="2" t="s">
        <v>93</v>
      </c>
      <c r="R26" s="3">
        <f t="shared" ref="R26:R29" si="2">J26*L26*O26</f>
        <v>8388000</v>
      </c>
      <c r="S26" s="8"/>
      <c r="T26" s="8"/>
      <c r="U26" s="8"/>
    </row>
    <row r="27" spans="1:21" ht="14.1" customHeight="1">
      <c r="A27" s="378"/>
      <c r="B27" s="378"/>
      <c r="C27" s="373"/>
      <c r="D27" s="374"/>
      <c r="E27" s="76">
        <v>1100</v>
      </c>
      <c r="F27" s="76">
        <f>R53/1000</f>
        <v>40</v>
      </c>
      <c r="G27" s="380"/>
      <c r="H27" s="381"/>
      <c r="I27" s="74"/>
      <c r="J27" s="83">
        <v>4250000</v>
      </c>
      <c r="K27" s="2" t="s">
        <v>89</v>
      </c>
      <c r="L27" s="2">
        <v>1</v>
      </c>
      <c r="M27" s="1" t="s">
        <v>94</v>
      </c>
      <c r="N27" s="2" t="s">
        <v>89</v>
      </c>
      <c r="O27" s="1">
        <v>10</v>
      </c>
      <c r="P27" s="1" t="s">
        <v>95</v>
      </c>
      <c r="Q27" s="2" t="s">
        <v>93</v>
      </c>
      <c r="R27" s="3">
        <f t="shared" si="2"/>
        <v>42500000</v>
      </c>
      <c r="S27" s="8"/>
      <c r="T27" s="8"/>
      <c r="U27" s="8"/>
    </row>
    <row r="28" spans="1:21" ht="14.1" customHeight="1">
      <c r="A28" s="378"/>
      <c r="B28" s="378"/>
      <c r="C28" s="377"/>
      <c r="D28" s="377"/>
      <c r="E28" s="77"/>
      <c r="F28" s="77"/>
      <c r="G28" s="382"/>
      <c r="H28" s="383"/>
      <c r="I28" s="74" t="s">
        <v>234</v>
      </c>
      <c r="J28" s="83">
        <v>3301000</v>
      </c>
      <c r="K28" s="2" t="s">
        <v>89</v>
      </c>
      <c r="L28" s="2">
        <v>1</v>
      </c>
      <c r="M28" s="1" t="s">
        <v>94</v>
      </c>
      <c r="N28" s="2" t="s">
        <v>89</v>
      </c>
      <c r="O28" s="1">
        <v>3</v>
      </c>
      <c r="P28" s="1" t="s">
        <v>95</v>
      </c>
      <c r="Q28" s="2" t="s">
        <v>93</v>
      </c>
      <c r="R28" s="3">
        <f t="shared" si="2"/>
        <v>9903000</v>
      </c>
      <c r="S28" s="8"/>
      <c r="T28" s="8"/>
      <c r="U28" s="8"/>
    </row>
    <row r="29" spans="1:21" ht="14.1" customHeight="1">
      <c r="A29" s="378"/>
      <c r="B29" s="378"/>
      <c r="C29" s="377"/>
      <c r="D29" s="377"/>
      <c r="E29" s="77"/>
      <c r="F29" s="77"/>
      <c r="G29" s="382"/>
      <c r="H29" s="383"/>
      <c r="J29" s="83">
        <v>3350000</v>
      </c>
      <c r="K29" s="2" t="s">
        <v>89</v>
      </c>
      <c r="L29" s="2">
        <v>1</v>
      </c>
      <c r="M29" s="1" t="s">
        <v>94</v>
      </c>
      <c r="N29" s="2" t="s">
        <v>89</v>
      </c>
      <c r="O29" s="1">
        <v>9</v>
      </c>
      <c r="P29" s="1" t="s">
        <v>95</v>
      </c>
      <c r="Q29" s="2" t="s">
        <v>93</v>
      </c>
      <c r="R29" s="3">
        <f t="shared" si="2"/>
        <v>30150000</v>
      </c>
      <c r="S29" s="7"/>
      <c r="T29" s="7"/>
      <c r="U29" s="7"/>
    </row>
    <row r="30" spans="1:21" ht="14.1" customHeight="1">
      <c r="A30" s="378"/>
      <c r="B30" s="378"/>
      <c r="C30" s="384"/>
      <c r="D30" s="384"/>
      <c r="E30" s="77"/>
      <c r="F30" s="77"/>
      <c r="G30" s="385"/>
      <c r="H30" s="386"/>
      <c r="I30" s="74" t="s">
        <v>235</v>
      </c>
      <c r="J30" s="83">
        <v>3103000</v>
      </c>
      <c r="K30" s="2" t="s">
        <v>89</v>
      </c>
      <c r="L30" s="2">
        <v>1</v>
      </c>
      <c r="M30" s="1" t="s">
        <v>90</v>
      </c>
      <c r="N30" s="2" t="s">
        <v>89</v>
      </c>
      <c r="O30" s="1">
        <v>8</v>
      </c>
      <c r="P30" s="1" t="s">
        <v>92</v>
      </c>
      <c r="Q30" s="2" t="s">
        <v>3</v>
      </c>
      <c r="R30" s="3">
        <f t="shared" ref="R30:R40" si="3">J30*L30*O30</f>
        <v>24824000</v>
      </c>
      <c r="S30" s="7"/>
      <c r="T30" s="7"/>
      <c r="U30" s="7"/>
    </row>
    <row r="31" spans="1:21" ht="14.1" customHeight="1">
      <c r="A31" s="378"/>
      <c r="B31" s="378"/>
      <c r="C31" s="384"/>
      <c r="D31" s="384"/>
      <c r="E31" s="77"/>
      <c r="F31" s="77"/>
      <c r="G31" s="385"/>
      <c r="H31" s="386"/>
      <c r="I31" s="74"/>
      <c r="J31" s="83">
        <v>3151000</v>
      </c>
      <c r="K31" s="2" t="s">
        <v>89</v>
      </c>
      <c r="L31" s="2">
        <v>1</v>
      </c>
      <c r="M31" s="1" t="s">
        <v>90</v>
      </c>
      <c r="N31" s="2" t="s">
        <v>89</v>
      </c>
      <c r="O31" s="1">
        <v>4</v>
      </c>
      <c r="P31" s="1" t="s">
        <v>92</v>
      </c>
      <c r="Q31" s="2" t="s">
        <v>3</v>
      </c>
      <c r="R31" s="3">
        <f t="shared" si="3"/>
        <v>12604000</v>
      </c>
      <c r="S31" s="7"/>
      <c r="T31" s="7"/>
      <c r="U31" s="7"/>
    </row>
    <row r="32" spans="1:21" ht="14.1" customHeight="1">
      <c r="A32" s="378"/>
      <c r="B32" s="378"/>
      <c r="C32" s="384"/>
      <c r="D32" s="384"/>
      <c r="E32" s="77"/>
      <c r="F32" s="77"/>
      <c r="G32" s="377"/>
      <c r="H32" s="386"/>
      <c r="I32" s="74" t="s">
        <v>236</v>
      </c>
      <c r="J32" s="83">
        <v>2640000</v>
      </c>
      <c r="K32" s="1" t="s">
        <v>12</v>
      </c>
      <c r="L32" s="2">
        <v>1</v>
      </c>
      <c r="M32" s="1" t="s">
        <v>55</v>
      </c>
      <c r="N32" s="1" t="s">
        <v>12</v>
      </c>
      <c r="O32" s="1">
        <v>10</v>
      </c>
      <c r="P32" s="1" t="s">
        <v>54</v>
      </c>
      <c r="Q32" s="1" t="s">
        <v>4</v>
      </c>
      <c r="R32" s="3">
        <f t="shared" si="3"/>
        <v>26400000</v>
      </c>
      <c r="S32" s="7"/>
      <c r="T32" s="7"/>
      <c r="U32" s="7"/>
    </row>
    <row r="33" spans="1:21" ht="14.1" customHeight="1">
      <c r="A33" s="378"/>
      <c r="B33" s="378"/>
      <c r="C33" s="384"/>
      <c r="D33" s="384"/>
      <c r="E33" s="77"/>
      <c r="F33" s="77"/>
      <c r="G33" s="377"/>
      <c r="H33" s="386"/>
      <c r="I33" s="74"/>
      <c r="J33" s="83">
        <v>2682000</v>
      </c>
      <c r="K33" s="1" t="s">
        <v>12</v>
      </c>
      <c r="L33" s="2">
        <v>1</v>
      </c>
      <c r="M33" s="1" t="s">
        <v>55</v>
      </c>
      <c r="N33" s="1" t="s">
        <v>12</v>
      </c>
      <c r="O33" s="1">
        <v>2</v>
      </c>
      <c r="P33" s="1" t="s">
        <v>54</v>
      </c>
      <c r="Q33" s="1" t="s">
        <v>4</v>
      </c>
      <c r="R33" s="3">
        <f t="shared" si="3"/>
        <v>5364000</v>
      </c>
      <c r="S33" s="7"/>
      <c r="T33" s="7"/>
      <c r="U33" s="7"/>
    </row>
    <row r="34" spans="1:21" ht="14.1" customHeight="1">
      <c r="A34" s="378" t="s">
        <v>98</v>
      </c>
      <c r="B34" s="378"/>
      <c r="C34" s="384"/>
      <c r="D34" s="384"/>
      <c r="E34" s="77"/>
      <c r="F34" s="77"/>
      <c r="G34" s="377"/>
      <c r="H34" s="386"/>
      <c r="I34" s="74" t="s">
        <v>237</v>
      </c>
      <c r="J34" s="83">
        <v>2390000</v>
      </c>
      <c r="K34" s="1" t="s">
        <v>12</v>
      </c>
      <c r="L34" s="2">
        <v>1</v>
      </c>
      <c r="M34" s="1" t="s">
        <v>90</v>
      </c>
      <c r="N34" s="2" t="s">
        <v>89</v>
      </c>
      <c r="O34" s="1">
        <v>7</v>
      </c>
      <c r="P34" s="1" t="s">
        <v>92</v>
      </c>
      <c r="Q34" s="2" t="s">
        <v>3</v>
      </c>
      <c r="R34" s="3">
        <f t="shared" si="3"/>
        <v>16730000</v>
      </c>
    </row>
    <row r="35" spans="1:21" ht="14.1" customHeight="1">
      <c r="A35" s="378"/>
      <c r="B35" s="378"/>
      <c r="C35" s="384"/>
      <c r="D35" s="384"/>
      <c r="E35" s="77"/>
      <c r="F35" s="77"/>
      <c r="G35" s="377"/>
      <c r="H35" s="386"/>
      <c r="I35" s="74"/>
      <c r="J35" s="83">
        <v>2475000</v>
      </c>
      <c r="K35" s="1" t="s">
        <v>12</v>
      </c>
      <c r="L35" s="2">
        <v>1</v>
      </c>
      <c r="M35" s="1" t="s">
        <v>55</v>
      </c>
      <c r="N35" s="1" t="s">
        <v>12</v>
      </c>
      <c r="O35" s="1">
        <v>5</v>
      </c>
      <c r="P35" s="1" t="s">
        <v>54</v>
      </c>
      <c r="Q35" s="1" t="s">
        <v>4</v>
      </c>
      <c r="R35" s="3">
        <f t="shared" si="3"/>
        <v>12375000</v>
      </c>
    </row>
    <row r="36" spans="1:21" ht="14.1" customHeight="1">
      <c r="A36" s="378" t="s">
        <v>98</v>
      </c>
      <c r="B36" s="378"/>
      <c r="C36" s="384"/>
      <c r="D36" s="384"/>
      <c r="E36" s="77"/>
      <c r="F36" s="77"/>
      <c r="G36" s="377"/>
      <c r="H36" s="386"/>
      <c r="I36" s="74" t="s">
        <v>224</v>
      </c>
      <c r="J36" s="83">
        <v>2776000</v>
      </c>
      <c r="K36" s="2" t="s">
        <v>89</v>
      </c>
      <c r="L36" s="2">
        <v>1</v>
      </c>
      <c r="M36" s="1" t="s">
        <v>90</v>
      </c>
      <c r="N36" s="2" t="s">
        <v>89</v>
      </c>
      <c r="O36" s="1">
        <v>12</v>
      </c>
      <c r="P36" s="1" t="s">
        <v>92</v>
      </c>
      <c r="Q36" s="2" t="s">
        <v>3</v>
      </c>
      <c r="R36" s="3">
        <f t="shared" si="3"/>
        <v>33312000</v>
      </c>
    </row>
    <row r="37" spans="1:21" ht="14.1" customHeight="1">
      <c r="A37" s="378"/>
      <c r="B37" s="378"/>
      <c r="C37" s="384"/>
      <c r="D37" s="384"/>
      <c r="E37" s="77"/>
      <c r="F37" s="77"/>
      <c r="G37" s="377"/>
      <c r="H37" s="386"/>
      <c r="I37" s="74" t="s">
        <v>238</v>
      </c>
      <c r="J37" s="83">
        <v>2237000</v>
      </c>
      <c r="K37" s="2" t="s">
        <v>89</v>
      </c>
      <c r="L37" s="2">
        <v>1</v>
      </c>
      <c r="M37" s="1" t="s">
        <v>90</v>
      </c>
      <c r="N37" s="2" t="s">
        <v>89</v>
      </c>
      <c r="O37" s="1">
        <v>3</v>
      </c>
      <c r="P37" s="1" t="s">
        <v>92</v>
      </c>
      <c r="Q37" s="2" t="s">
        <v>3</v>
      </c>
      <c r="R37" s="3">
        <f t="shared" si="3"/>
        <v>6711000</v>
      </c>
      <c r="S37" s="7"/>
      <c r="T37" s="7"/>
      <c r="U37" s="7"/>
    </row>
    <row r="38" spans="1:21" ht="14.1" customHeight="1">
      <c r="A38" s="378"/>
      <c r="B38" s="378"/>
      <c r="C38" s="384"/>
      <c r="D38" s="384"/>
      <c r="E38" s="77"/>
      <c r="F38" s="77"/>
      <c r="G38" s="377"/>
      <c r="H38" s="386"/>
      <c r="I38" s="74"/>
      <c r="J38" s="83">
        <v>2318000</v>
      </c>
      <c r="K38" s="2" t="s">
        <v>89</v>
      </c>
      <c r="L38" s="2">
        <v>1</v>
      </c>
      <c r="M38" s="1" t="s">
        <v>90</v>
      </c>
      <c r="N38" s="2" t="s">
        <v>89</v>
      </c>
      <c r="O38" s="1">
        <v>9</v>
      </c>
      <c r="P38" s="1" t="s">
        <v>92</v>
      </c>
      <c r="Q38" s="2" t="s">
        <v>3</v>
      </c>
      <c r="R38" s="3">
        <f t="shared" si="3"/>
        <v>20862000</v>
      </c>
      <c r="S38" s="7"/>
      <c r="T38" s="7"/>
      <c r="U38" s="7"/>
    </row>
    <row r="39" spans="1:21" ht="14.1" customHeight="1">
      <c r="A39" s="378"/>
      <c r="B39" s="378"/>
      <c r="C39" s="384"/>
      <c r="D39" s="384"/>
      <c r="E39" s="77"/>
      <c r="F39" s="77"/>
      <c r="G39" s="377"/>
      <c r="H39" s="386"/>
      <c r="I39" s="74" t="s">
        <v>239</v>
      </c>
      <c r="J39" s="83">
        <v>2118000</v>
      </c>
      <c r="K39" s="2" t="s">
        <v>89</v>
      </c>
      <c r="L39" s="2">
        <v>1</v>
      </c>
      <c r="M39" s="1" t="s">
        <v>90</v>
      </c>
      <c r="N39" s="2" t="s">
        <v>89</v>
      </c>
      <c r="O39" s="1">
        <v>6</v>
      </c>
      <c r="P39" s="1" t="s">
        <v>92</v>
      </c>
      <c r="Q39" s="2" t="s">
        <v>3</v>
      </c>
      <c r="R39" s="3">
        <f t="shared" si="3"/>
        <v>12708000</v>
      </c>
      <c r="S39" s="7"/>
      <c r="T39" s="7"/>
      <c r="U39" s="7"/>
    </row>
    <row r="40" spans="1:21" s="63" customFormat="1" ht="14.1" customHeight="1">
      <c r="A40" s="378"/>
      <c r="B40" s="378"/>
      <c r="C40" s="384"/>
      <c r="D40" s="384"/>
      <c r="E40" s="77"/>
      <c r="F40" s="77"/>
      <c r="G40" s="377"/>
      <c r="H40" s="386"/>
      <c r="I40" s="74"/>
      <c r="J40" s="83">
        <v>2128000</v>
      </c>
      <c r="K40" s="2" t="s">
        <v>89</v>
      </c>
      <c r="L40" s="2">
        <v>1</v>
      </c>
      <c r="M40" s="1" t="s">
        <v>90</v>
      </c>
      <c r="N40" s="2" t="s">
        <v>89</v>
      </c>
      <c r="O40" s="1">
        <v>6</v>
      </c>
      <c r="P40" s="1" t="s">
        <v>92</v>
      </c>
      <c r="Q40" s="2" t="s">
        <v>3</v>
      </c>
      <c r="R40" s="3">
        <f t="shared" si="3"/>
        <v>12768000</v>
      </c>
    </row>
    <row r="41" spans="1:21" s="63" customFormat="1" ht="14.1" customHeight="1">
      <c r="A41" s="378"/>
      <c r="B41" s="378"/>
      <c r="C41" s="384"/>
      <c r="D41" s="384"/>
      <c r="E41" s="77"/>
      <c r="F41" s="77"/>
      <c r="G41" s="377"/>
      <c r="H41" s="386"/>
      <c r="I41" s="74"/>
      <c r="J41" s="83">
        <v>10000</v>
      </c>
      <c r="K41" s="2" t="s">
        <v>89</v>
      </c>
      <c r="L41" s="2">
        <v>1</v>
      </c>
      <c r="M41" s="1" t="s">
        <v>90</v>
      </c>
      <c r="N41" s="2" t="s">
        <v>89</v>
      </c>
      <c r="O41" s="1">
        <v>4</v>
      </c>
      <c r="P41" s="1" t="s">
        <v>92</v>
      </c>
      <c r="Q41" s="2" t="s">
        <v>3</v>
      </c>
      <c r="R41" s="92">
        <f t="shared" ref="R41:R42" si="4">J41*L41*O41</f>
        <v>40000</v>
      </c>
    </row>
    <row r="42" spans="1:21" ht="14.1" customHeight="1">
      <c r="A42" s="378"/>
      <c r="B42" s="378"/>
      <c r="C42" s="384"/>
      <c r="D42" s="384"/>
      <c r="E42" s="77"/>
      <c r="F42" s="77"/>
      <c r="G42" s="377"/>
      <c r="H42" s="386"/>
      <c r="I42" s="74" t="s">
        <v>240</v>
      </c>
      <c r="J42" s="83">
        <v>2098000</v>
      </c>
      <c r="K42" s="2" t="s">
        <v>89</v>
      </c>
      <c r="L42" s="2">
        <v>1</v>
      </c>
      <c r="M42" s="1" t="s">
        <v>90</v>
      </c>
      <c r="N42" s="2" t="s">
        <v>89</v>
      </c>
      <c r="O42" s="1">
        <v>12</v>
      </c>
      <c r="P42" s="1" t="s">
        <v>92</v>
      </c>
      <c r="Q42" s="2" t="s">
        <v>3</v>
      </c>
      <c r="R42" s="3">
        <f t="shared" si="4"/>
        <v>25176000</v>
      </c>
      <c r="S42" s="7"/>
      <c r="T42" s="7"/>
      <c r="U42" s="7"/>
    </row>
    <row r="43" spans="1:21" ht="14.1" customHeight="1">
      <c r="A43" s="378"/>
      <c r="B43" s="378"/>
      <c r="C43" s="384"/>
      <c r="D43" s="384"/>
      <c r="E43" s="77"/>
      <c r="F43" s="77"/>
      <c r="G43" s="377"/>
      <c r="H43" s="386"/>
      <c r="I43" s="74" t="s">
        <v>240</v>
      </c>
      <c r="J43" s="83">
        <v>2098000</v>
      </c>
      <c r="K43" s="2" t="s">
        <v>89</v>
      </c>
      <c r="L43" s="2">
        <v>1</v>
      </c>
      <c r="M43" s="1" t="s">
        <v>90</v>
      </c>
      <c r="N43" s="2" t="s">
        <v>89</v>
      </c>
      <c r="O43" s="1">
        <v>7</v>
      </c>
      <c r="P43" s="1" t="s">
        <v>92</v>
      </c>
      <c r="Q43" s="2" t="s">
        <v>3</v>
      </c>
      <c r="R43" s="3">
        <f>J43*L43*O43</f>
        <v>14686000</v>
      </c>
      <c r="S43" s="7"/>
      <c r="T43" s="7"/>
      <c r="U43" s="7"/>
    </row>
    <row r="44" spans="1:21" ht="14.1" customHeight="1">
      <c r="A44" s="378"/>
      <c r="B44" s="378"/>
      <c r="C44" s="384"/>
      <c r="D44" s="384"/>
      <c r="E44" s="77"/>
      <c r="F44" s="77"/>
      <c r="G44" s="377"/>
      <c r="H44" s="386"/>
      <c r="I44" s="74"/>
      <c r="J44" s="83">
        <v>2108000</v>
      </c>
      <c r="K44" s="2" t="s">
        <v>89</v>
      </c>
      <c r="L44" s="2">
        <v>1</v>
      </c>
      <c r="M44" s="1" t="s">
        <v>94</v>
      </c>
      <c r="N44" s="2" t="s">
        <v>89</v>
      </c>
      <c r="O44" s="1">
        <v>5</v>
      </c>
      <c r="P44" s="1" t="s">
        <v>95</v>
      </c>
      <c r="Q44" s="2" t="s">
        <v>93</v>
      </c>
      <c r="R44" s="3">
        <f>J44*L44*O44</f>
        <v>10540000</v>
      </c>
      <c r="S44" s="7"/>
      <c r="T44" s="7"/>
      <c r="U44" s="7"/>
    </row>
    <row r="45" spans="1:21" ht="14.1" customHeight="1">
      <c r="A45" s="378"/>
      <c r="B45" s="378"/>
      <c r="C45" s="384"/>
      <c r="D45" s="384"/>
      <c r="E45" s="77"/>
      <c r="F45" s="77"/>
      <c r="G45" s="377"/>
      <c r="H45" s="386"/>
      <c r="I45" s="74" t="s">
        <v>241</v>
      </c>
      <c r="J45" s="83">
        <v>2187000</v>
      </c>
      <c r="K45" s="2" t="s">
        <v>89</v>
      </c>
      <c r="L45" s="2">
        <v>1</v>
      </c>
      <c r="M45" s="1" t="s">
        <v>94</v>
      </c>
      <c r="N45" s="2" t="s">
        <v>89</v>
      </c>
      <c r="O45" s="1">
        <v>3</v>
      </c>
      <c r="P45" s="1" t="s">
        <v>95</v>
      </c>
      <c r="Q45" s="2" t="s">
        <v>93</v>
      </c>
      <c r="R45" s="3">
        <f>J45*L45*O45</f>
        <v>6561000</v>
      </c>
      <c r="S45" s="7"/>
      <c r="T45" s="7"/>
      <c r="U45" s="7"/>
    </row>
    <row r="46" spans="1:21" ht="14.1" customHeight="1">
      <c r="A46" s="378"/>
      <c r="B46" s="378"/>
      <c r="C46" s="384"/>
      <c r="D46" s="384"/>
      <c r="E46" s="77"/>
      <c r="F46" s="77"/>
      <c r="G46" s="377"/>
      <c r="H46" s="386"/>
      <c r="I46" s="74"/>
      <c r="J46" s="83">
        <v>2270000</v>
      </c>
      <c r="K46" s="2" t="s">
        <v>89</v>
      </c>
      <c r="L46" s="2">
        <v>1</v>
      </c>
      <c r="M46" s="1" t="s">
        <v>94</v>
      </c>
      <c r="N46" s="2" t="s">
        <v>89</v>
      </c>
      <c r="O46" s="1">
        <v>9</v>
      </c>
      <c r="P46" s="1" t="s">
        <v>95</v>
      </c>
      <c r="Q46" s="2" t="s">
        <v>93</v>
      </c>
      <c r="R46" s="3">
        <f t="shared" ref="R46" si="5">J46*L46*O46</f>
        <v>20430000</v>
      </c>
    </row>
    <row r="47" spans="1:21" ht="14.1" customHeight="1">
      <c r="A47" s="378"/>
      <c r="B47" s="378"/>
      <c r="C47" s="384"/>
      <c r="D47" s="384"/>
      <c r="E47" s="77"/>
      <c r="F47" s="77"/>
      <c r="G47" s="377"/>
      <c r="H47" s="386"/>
      <c r="I47" s="74" t="s">
        <v>241</v>
      </c>
      <c r="J47" s="83">
        <v>2187000</v>
      </c>
      <c r="K47" s="2" t="s">
        <v>89</v>
      </c>
      <c r="L47" s="2">
        <v>1</v>
      </c>
      <c r="M47" s="1" t="s">
        <v>94</v>
      </c>
      <c r="N47" s="2" t="s">
        <v>89</v>
      </c>
      <c r="O47" s="1">
        <v>7</v>
      </c>
      <c r="P47" s="1" t="s">
        <v>95</v>
      </c>
      <c r="Q47" s="2" t="s">
        <v>93</v>
      </c>
      <c r="R47" s="3">
        <f>J47*L47*O47</f>
        <v>15309000</v>
      </c>
    </row>
    <row r="48" spans="1:21" ht="14.1" customHeight="1">
      <c r="A48" s="378"/>
      <c r="B48" s="378"/>
      <c r="C48" s="384"/>
      <c r="D48" s="384"/>
      <c r="E48" s="77"/>
      <c r="F48" s="77"/>
      <c r="G48" s="377"/>
      <c r="H48" s="386"/>
      <c r="I48" s="74"/>
      <c r="J48" s="83">
        <v>2270000</v>
      </c>
      <c r="K48" s="2" t="s">
        <v>89</v>
      </c>
      <c r="L48" s="2">
        <v>1</v>
      </c>
      <c r="M48" s="1" t="s">
        <v>94</v>
      </c>
      <c r="N48" s="2" t="s">
        <v>89</v>
      </c>
      <c r="O48" s="1">
        <v>5</v>
      </c>
      <c r="P48" s="1" t="s">
        <v>95</v>
      </c>
      <c r="Q48" s="2" t="s">
        <v>93</v>
      </c>
      <c r="R48" s="3">
        <f>J48*L48*O48</f>
        <v>11350000</v>
      </c>
    </row>
    <row r="49" spans="1:18" ht="14.1" customHeight="1">
      <c r="A49" s="378"/>
      <c r="B49" s="378"/>
      <c r="C49" s="384"/>
      <c r="D49" s="384"/>
      <c r="E49" s="77"/>
      <c r="F49" s="77"/>
      <c r="G49" s="377"/>
      <c r="H49" s="386"/>
      <c r="I49" s="74" t="s">
        <v>242</v>
      </c>
      <c r="J49" s="83">
        <v>2118000</v>
      </c>
      <c r="K49" s="2" t="s">
        <v>89</v>
      </c>
      <c r="L49" s="2">
        <v>1</v>
      </c>
      <c r="M49" s="1" t="s">
        <v>94</v>
      </c>
      <c r="N49" s="2" t="s">
        <v>89</v>
      </c>
      <c r="O49" s="1">
        <v>4</v>
      </c>
      <c r="P49" s="1" t="s">
        <v>95</v>
      </c>
      <c r="Q49" s="2" t="s">
        <v>93</v>
      </c>
      <c r="R49" s="3">
        <f>J49*L49*O49</f>
        <v>8472000</v>
      </c>
    </row>
    <row r="50" spans="1:18" ht="14.1" customHeight="1">
      <c r="A50" s="378"/>
      <c r="B50" s="378"/>
      <c r="C50" s="384"/>
      <c r="D50" s="384"/>
      <c r="E50" s="77"/>
      <c r="F50" s="77"/>
      <c r="G50" s="377"/>
      <c r="H50" s="386"/>
      <c r="I50" s="74"/>
      <c r="J50" s="83">
        <v>2128000</v>
      </c>
      <c r="K50" s="2" t="s">
        <v>89</v>
      </c>
      <c r="L50" s="2">
        <v>1</v>
      </c>
      <c r="M50" s="1" t="s">
        <v>94</v>
      </c>
      <c r="N50" s="2" t="s">
        <v>89</v>
      </c>
      <c r="O50" s="1">
        <v>8</v>
      </c>
      <c r="P50" s="1" t="s">
        <v>95</v>
      </c>
      <c r="Q50" s="2" t="s">
        <v>93</v>
      </c>
      <c r="R50" s="3">
        <f>J50*L50*O50</f>
        <v>17024000</v>
      </c>
    </row>
    <row r="51" spans="1:18" ht="14.1" customHeight="1">
      <c r="A51" s="378"/>
      <c r="B51" s="378"/>
      <c r="C51" s="384"/>
      <c r="D51" s="384"/>
      <c r="E51" s="77"/>
      <c r="F51" s="77"/>
      <c r="G51" s="377"/>
      <c r="H51" s="386"/>
      <c r="R51" s="82"/>
    </row>
    <row r="52" spans="1:18" s="63" customFormat="1" ht="14.1" customHeight="1">
      <c r="A52" s="378"/>
      <c r="B52" s="378"/>
      <c r="C52" s="384"/>
      <c r="D52" s="384"/>
      <c r="E52" s="77"/>
      <c r="F52" s="77"/>
      <c r="G52" s="377"/>
      <c r="H52" s="386"/>
      <c r="I52" s="74"/>
      <c r="J52" s="83"/>
      <c r="K52" s="1"/>
      <c r="L52" s="2"/>
      <c r="M52" s="1"/>
      <c r="N52" s="1"/>
      <c r="O52" s="1"/>
      <c r="P52" s="1"/>
      <c r="Q52" s="1"/>
      <c r="R52" s="3"/>
    </row>
    <row r="53" spans="1:18" s="63" customFormat="1" ht="14.1" customHeight="1">
      <c r="A53" s="378"/>
      <c r="B53" s="378"/>
      <c r="C53" s="384"/>
      <c r="D53" s="384"/>
      <c r="E53" s="77"/>
      <c r="F53" s="77"/>
      <c r="G53" s="377"/>
      <c r="H53" s="386"/>
      <c r="I53" s="74"/>
      <c r="J53" s="83"/>
      <c r="K53" s="1"/>
      <c r="L53" s="312"/>
      <c r="M53" s="312"/>
      <c r="N53" s="312"/>
      <c r="O53" s="1"/>
      <c r="P53" s="1"/>
      <c r="Q53" s="1"/>
      <c r="R53" s="92">
        <f>R41</f>
        <v>40000</v>
      </c>
    </row>
    <row r="54" spans="1:18" s="63" customFormat="1" ht="14.1" customHeight="1">
      <c r="A54" s="387"/>
      <c r="B54" s="387"/>
      <c r="C54" s="379"/>
      <c r="D54" s="379"/>
      <c r="E54" s="78"/>
      <c r="F54" s="78"/>
      <c r="G54" s="374"/>
      <c r="H54" s="388"/>
      <c r="I54" s="93"/>
      <c r="J54" s="94"/>
      <c r="K54" s="95"/>
      <c r="L54" s="95"/>
      <c r="M54" s="96"/>
      <c r="N54" s="95"/>
      <c r="O54" s="96"/>
      <c r="P54" s="96" t="s">
        <v>100</v>
      </c>
      <c r="Q54" s="95" t="s">
        <v>93</v>
      </c>
      <c r="R54" s="97">
        <f>SUM(R26:R50)-R53</f>
        <v>405147000</v>
      </c>
    </row>
    <row r="55" spans="1:18" s="63" customFormat="1" ht="16.5" customHeight="1">
      <c r="A55" s="68" t="s">
        <v>101</v>
      </c>
      <c r="B55" s="68"/>
      <c r="C55" s="364" t="s">
        <v>67</v>
      </c>
      <c r="D55" s="364"/>
      <c r="E55" s="80"/>
      <c r="F55" s="80"/>
      <c r="G55" s="365"/>
      <c r="H55" s="366"/>
      <c r="I55" s="367"/>
      <c r="J55" s="367"/>
      <c r="K55" s="367"/>
      <c r="L55" s="367"/>
      <c r="M55" s="367"/>
      <c r="N55" s="367"/>
      <c r="O55" s="367"/>
      <c r="P55" s="367"/>
      <c r="Q55" s="367"/>
      <c r="R55" s="69" t="s">
        <v>102</v>
      </c>
    </row>
    <row r="56" spans="1:18" s="63" customFormat="1" ht="15" customHeight="1">
      <c r="A56" s="315" t="s">
        <v>103</v>
      </c>
      <c r="B56" s="315" t="s">
        <v>104</v>
      </c>
      <c r="C56" s="315" t="s">
        <v>105</v>
      </c>
      <c r="D56" s="315" t="s">
        <v>106</v>
      </c>
      <c r="E56" s="70" t="s">
        <v>229</v>
      </c>
      <c r="F56" s="70" t="s">
        <v>231</v>
      </c>
      <c r="G56" s="317" t="s">
        <v>107</v>
      </c>
      <c r="H56" s="318"/>
      <c r="I56" s="319" t="s">
        <v>108</v>
      </c>
      <c r="J56" s="320"/>
      <c r="K56" s="320"/>
      <c r="L56" s="320"/>
      <c r="M56" s="320"/>
      <c r="N56" s="320"/>
      <c r="O56" s="320"/>
      <c r="P56" s="320"/>
      <c r="Q56" s="320"/>
      <c r="R56" s="321"/>
    </row>
    <row r="57" spans="1:18" s="63" customFormat="1" ht="15" customHeight="1">
      <c r="A57" s="322"/>
      <c r="B57" s="322"/>
      <c r="C57" s="322"/>
      <c r="D57" s="322"/>
      <c r="E57" s="70" t="s">
        <v>230</v>
      </c>
      <c r="F57" s="70" t="s">
        <v>232</v>
      </c>
      <c r="G57" s="118" t="s">
        <v>109</v>
      </c>
      <c r="H57" s="324" t="s">
        <v>110</v>
      </c>
      <c r="I57" s="325"/>
      <c r="J57" s="326"/>
      <c r="K57" s="326"/>
      <c r="L57" s="326"/>
      <c r="M57" s="326"/>
      <c r="N57" s="326"/>
      <c r="O57" s="326"/>
      <c r="P57" s="326"/>
      <c r="Q57" s="326"/>
      <c r="R57" s="327"/>
    </row>
    <row r="58" spans="1:18" s="63" customFormat="1" ht="14.1" customHeight="1">
      <c r="A58" s="389"/>
      <c r="B58" s="389"/>
      <c r="C58" s="368" t="s">
        <v>111</v>
      </c>
      <c r="D58" s="369"/>
      <c r="E58" s="220">
        <v>62339</v>
      </c>
      <c r="F58" s="76">
        <f>(R70)/1000</f>
        <v>61325.4</v>
      </c>
      <c r="G58" s="370">
        <f>F58+F59-E58-E59</f>
        <v>592.89999999999418</v>
      </c>
      <c r="H58" s="346">
        <f>G58/E58:E59</f>
        <v>9.510900078602386E-3</v>
      </c>
      <c r="I58" s="86" t="s">
        <v>112</v>
      </c>
      <c r="J58" s="83">
        <v>40000</v>
      </c>
      <c r="K58" s="2" t="s">
        <v>91</v>
      </c>
      <c r="L58" s="2">
        <v>5</v>
      </c>
      <c r="M58" s="1" t="s">
        <v>90</v>
      </c>
      <c r="N58" s="2" t="s">
        <v>91</v>
      </c>
      <c r="O58" s="1">
        <v>12</v>
      </c>
      <c r="P58" s="1" t="s">
        <v>92</v>
      </c>
      <c r="Q58" s="2" t="s">
        <v>113</v>
      </c>
      <c r="R58" s="3">
        <f t="shared" ref="R58:R59" si="6">J58*L58*O58</f>
        <v>2400000</v>
      </c>
    </row>
    <row r="59" spans="1:18" s="63" customFormat="1" ht="14.1" customHeight="1">
      <c r="A59" s="389"/>
      <c r="B59" s="389"/>
      <c r="C59" s="373"/>
      <c r="D59" s="374"/>
      <c r="E59" s="220">
        <v>27819</v>
      </c>
      <c r="F59" s="76">
        <f>R71/1000</f>
        <v>29425.5</v>
      </c>
      <c r="G59" s="375"/>
      <c r="H59" s="352"/>
      <c r="I59" s="86"/>
      <c r="J59" s="83">
        <v>20000</v>
      </c>
      <c r="K59" s="2" t="s">
        <v>89</v>
      </c>
      <c r="L59" s="2">
        <v>9</v>
      </c>
      <c r="M59" s="1" t="s">
        <v>94</v>
      </c>
      <c r="N59" s="2" t="s">
        <v>89</v>
      </c>
      <c r="O59" s="1">
        <v>12</v>
      </c>
      <c r="P59" s="1" t="s">
        <v>95</v>
      </c>
      <c r="Q59" s="2" t="s">
        <v>93</v>
      </c>
      <c r="R59" s="3">
        <f t="shared" si="6"/>
        <v>2160000</v>
      </c>
    </row>
    <row r="60" spans="1:18" s="63" customFormat="1" ht="14.1" customHeight="1">
      <c r="A60" s="389"/>
      <c r="B60" s="389"/>
      <c r="C60" s="377"/>
      <c r="D60" s="377"/>
      <c r="E60" s="218"/>
      <c r="F60" s="77"/>
      <c r="G60" s="390"/>
      <c r="H60" s="383"/>
      <c r="I60" s="86"/>
      <c r="J60" s="83">
        <v>60000</v>
      </c>
      <c r="K60" s="2" t="s">
        <v>89</v>
      </c>
      <c r="L60" s="2">
        <v>1</v>
      </c>
      <c r="M60" s="1" t="s">
        <v>90</v>
      </c>
      <c r="N60" s="2" t="s">
        <v>89</v>
      </c>
      <c r="O60" s="1">
        <v>12</v>
      </c>
      <c r="P60" s="1" t="s">
        <v>92</v>
      </c>
      <c r="Q60" s="2" t="s">
        <v>3</v>
      </c>
      <c r="R60" s="3">
        <f t="shared" ref="R60" si="7">J60*L60*O60</f>
        <v>720000</v>
      </c>
    </row>
    <row r="61" spans="1:18" s="63" customFormat="1" ht="14.1" customHeight="1">
      <c r="A61" s="389"/>
      <c r="B61" s="389"/>
      <c r="C61" s="377"/>
      <c r="D61" s="377"/>
      <c r="E61" s="218"/>
      <c r="F61" s="77"/>
      <c r="G61" s="390"/>
      <c r="H61" s="383"/>
      <c r="I61" s="84" t="s">
        <v>114</v>
      </c>
      <c r="J61" s="83"/>
      <c r="K61" s="1"/>
      <c r="L61" s="2"/>
      <c r="M61" s="1"/>
      <c r="N61" s="1"/>
      <c r="O61" s="1"/>
      <c r="P61" s="1"/>
      <c r="Q61" s="2" t="s">
        <v>3</v>
      </c>
      <c r="R61" s="85">
        <v>40445400</v>
      </c>
    </row>
    <row r="62" spans="1:18" s="63" customFormat="1" ht="14.1" customHeight="1">
      <c r="A62" s="378"/>
      <c r="B62" s="378"/>
      <c r="C62" s="377"/>
      <c r="D62" s="377"/>
      <c r="E62" s="77"/>
      <c r="F62" s="77"/>
      <c r="G62" s="390"/>
      <c r="H62" s="383"/>
      <c r="I62" s="86" t="s">
        <v>115</v>
      </c>
      <c r="J62" s="87">
        <v>100000</v>
      </c>
      <c r="K62" s="2" t="s">
        <v>89</v>
      </c>
      <c r="L62" s="2">
        <v>13</v>
      </c>
      <c r="M62" s="1" t="s">
        <v>94</v>
      </c>
      <c r="N62" s="2" t="s">
        <v>89</v>
      </c>
      <c r="O62" s="1">
        <v>12</v>
      </c>
      <c r="P62" s="1" t="s">
        <v>95</v>
      </c>
      <c r="Q62" s="2" t="s">
        <v>93</v>
      </c>
      <c r="R62" s="3">
        <f>J62*L62*O62</f>
        <v>15600000</v>
      </c>
    </row>
    <row r="63" spans="1:18" s="63" customFormat="1" ht="14.1" customHeight="1">
      <c r="A63" s="378"/>
      <c r="B63" s="378"/>
      <c r="C63" s="377"/>
      <c r="D63" s="377"/>
      <c r="E63" s="77"/>
      <c r="F63" s="77"/>
      <c r="G63" s="390"/>
      <c r="H63" s="383"/>
      <c r="I63" s="86" t="s">
        <v>116</v>
      </c>
      <c r="J63" s="88">
        <v>200000</v>
      </c>
      <c r="K63" s="2" t="s">
        <v>89</v>
      </c>
      <c r="L63" s="2">
        <v>1</v>
      </c>
      <c r="M63" s="1" t="s">
        <v>94</v>
      </c>
      <c r="N63" s="2" t="s">
        <v>89</v>
      </c>
      <c r="O63" s="1">
        <v>12</v>
      </c>
      <c r="P63" s="1" t="s">
        <v>95</v>
      </c>
      <c r="Q63" s="2" t="s">
        <v>93</v>
      </c>
      <c r="R63" s="89">
        <f>J63*L63*O63</f>
        <v>2400000</v>
      </c>
    </row>
    <row r="64" spans="1:18" s="63" customFormat="1" ht="14.1" customHeight="1">
      <c r="A64" s="378"/>
      <c r="B64" s="378"/>
      <c r="C64" s="377"/>
      <c r="D64" s="377"/>
      <c r="E64" s="77"/>
      <c r="F64" s="77"/>
      <c r="G64" s="390"/>
      <c r="H64" s="383"/>
      <c r="I64" s="84" t="s">
        <v>117</v>
      </c>
      <c r="J64" s="90"/>
      <c r="K64" s="2"/>
      <c r="L64" s="309"/>
      <c r="M64" s="309"/>
      <c r="N64" s="309"/>
      <c r="O64" s="309"/>
      <c r="P64" s="309"/>
      <c r="Q64" s="2" t="s">
        <v>93</v>
      </c>
      <c r="R64" s="91">
        <v>16865500</v>
      </c>
    </row>
    <row r="65" spans="1:18" s="63" customFormat="1" ht="14.1" customHeight="1">
      <c r="A65" s="378"/>
      <c r="B65" s="378"/>
      <c r="C65" s="377"/>
      <c r="D65" s="377"/>
      <c r="E65" s="77"/>
      <c r="F65" s="77"/>
      <c r="G65" s="390"/>
      <c r="H65" s="383"/>
      <c r="I65" s="84" t="s">
        <v>118</v>
      </c>
      <c r="J65" s="90">
        <v>300000</v>
      </c>
      <c r="K65" s="2" t="s">
        <v>89</v>
      </c>
      <c r="L65" s="2">
        <v>13</v>
      </c>
      <c r="M65" s="1" t="s">
        <v>94</v>
      </c>
      <c r="N65" s="2" t="s">
        <v>89</v>
      </c>
      <c r="O65" s="1">
        <v>1</v>
      </c>
      <c r="P65" s="1" t="s">
        <v>96</v>
      </c>
      <c r="Q65" s="2" t="s">
        <v>93</v>
      </c>
      <c r="R65" s="89">
        <f>J65*L65*O65</f>
        <v>3900000</v>
      </c>
    </row>
    <row r="66" spans="1:18" s="63" customFormat="1" ht="14.1" customHeight="1">
      <c r="A66" s="378"/>
      <c r="B66" s="378"/>
      <c r="C66" s="377"/>
      <c r="D66" s="377"/>
      <c r="E66" s="77"/>
      <c r="F66" s="77"/>
      <c r="G66" s="390"/>
      <c r="H66" s="383"/>
      <c r="I66" s="84" t="s">
        <v>119</v>
      </c>
      <c r="J66" s="90">
        <v>300000</v>
      </c>
      <c r="K66" s="2" t="s">
        <v>89</v>
      </c>
      <c r="L66" s="2">
        <v>13</v>
      </c>
      <c r="M66" s="1" t="s">
        <v>94</v>
      </c>
      <c r="N66" s="2" t="s">
        <v>89</v>
      </c>
      <c r="O66" s="1">
        <v>1</v>
      </c>
      <c r="P66" s="1" t="s">
        <v>96</v>
      </c>
      <c r="Q66" s="2" t="s">
        <v>93</v>
      </c>
      <c r="R66" s="89">
        <f>J66*L66*O66</f>
        <v>3900000</v>
      </c>
    </row>
    <row r="67" spans="1:18" s="63" customFormat="1" ht="14.1" customHeight="1">
      <c r="A67" s="378"/>
      <c r="B67" s="378"/>
      <c r="C67" s="377"/>
      <c r="D67" s="377"/>
      <c r="E67" s="77"/>
      <c r="F67" s="77"/>
      <c r="G67" s="390"/>
      <c r="H67" s="383"/>
      <c r="I67" s="84" t="s">
        <v>120</v>
      </c>
      <c r="J67" s="90">
        <v>30000</v>
      </c>
      <c r="K67" s="2" t="s">
        <v>89</v>
      </c>
      <c r="L67" s="2">
        <v>1</v>
      </c>
      <c r="M67" s="1" t="s">
        <v>94</v>
      </c>
      <c r="N67" s="2" t="s">
        <v>89</v>
      </c>
      <c r="O67" s="1">
        <v>12</v>
      </c>
      <c r="P67" s="1" t="s">
        <v>95</v>
      </c>
      <c r="Q67" s="2" t="s">
        <v>93</v>
      </c>
      <c r="R67" s="89">
        <f>J67*L67*O67</f>
        <v>360000</v>
      </c>
    </row>
    <row r="68" spans="1:18" s="63" customFormat="1" ht="14.1" customHeight="1">
      <c r="A68" s="378"/>
      <c r="B68" s="378"/>
      <c r="C68" s="377"/>
      <c r="D68" s="377"/>
      <c r="E68" s="77"/>
      <c r="F68" s="77"/>
      <c r="G68" s="390"/>
      <c r="H68" s="383"/>
      <c r="I68" s="98" t="s">
        <v>121</v>
      </c>
      <c r="J68" s="99">
        <v>19183</v>
      </c>
      <c r="K68" s="100" t="s">
        <v>89</v>
      </c>
      <c r="L68" s="310" t="s">
        <v>208</v>
      </c>
      <c r="M68" s="310"/>
      <c r="N68" s="310"/>
      <c r="O68" s="310"/>
      <c r="P68" s="310"/>
      <c r="Q68" s="64" t="s">
        <v>97</v>
      </c>
      <c r="R68" s="101">
        <v>0</v>
      </c>
    </row>
    <row r="69" spans="1:18" s="63" customFormat="1" ht="14.1" customHeight="1">
      <c r="A69" s="378"/>
      <c r="B69" s="378"/>
      <c r="C69" s="377"/>
      <c r="D69" s="377"/>
      <c r="E69" s="77"/>
      <c r="F69" s="77"/>
      <c r="G69" s="390"/>
      <c r="H69" s="383"/>
      <c r="I69" s="98"/>
      <c r="J69" s="102"/>
      <c r="K69" s="103"/>
      <c r="L69" s="104"/>
      <c r="M69" s="104"/>
      <c r="N69" s="104"/>
      <c r="O69" s="104"/>
      <c r="P69" s="104"/>
      <c r="Q69" s="105"/>
      <c r="R69" s="106">
        <v>2000000</v>
      </c>
    </row>
    <row r="70" spans="1:18" s="63" customFormat="1" ht="14.1" customHeight="1">
      <c r="A70" s="378"/>
      <c r="B70" s="378"/>
      <c r="C70" s="377"/>
      <c r="D70" s="377"/>
      <c r="E70" s="77"/>
      <c r="F70" s="77"/>
      <c r="G70" s="390"/>
      <c r="H70" s="383"/>
      <c r="I70" s="1"/>
      <c r="J70" s="107"/>
      <c r="K70" s="1"/>
      <c r="L70" s="2"/>
      <c r="M70" s="1"/>
      <c r="N70" s="1"/>
      <c r="O70" s="1"/>
      <c r="P70" s="1" t="s">
        <v>100</v>
      </c>
      <c r="Q70" s="1" t="s">
        <v>93</v>
      </c>
      <c r="R70" s="3">
        <f>R58+R59+R61+R62+R68+R60</f>
        <v>61325400</v>
      </c>
    </row>
    <row r="71" spans="1:18" s="63" customFormat="1" ht="14.1" customHeight="1">
      <c r="A71" s="378"/>
      <c r="B71" s="378"/>
      <c r="C71" s="387"/>
      <c r="D71" s="374"/>
      <c r="E71" s="78"/>
      <c r="F71" s="78"/>
      <c r="G71" s="391"/>
      <c r="H71" s="392"/>
      <c r="I71" s="96"/>
      <c r="J71" s="94"/>
      <c r="K71" s="95"/>
      <c r="L71" s="95"/>
      <c r="M71" s="96"/>
      <c r="N71" s="95"/>
      <c r="O71" s="96"/>
      <c r="P71" s="96"/>
      <c r="Q71" s="95"/>
      <c r="R71" s="108">
        <f>R63+R64+R65+R66+R67+R69</f>
        <v>29425500</v>
      </c>
    </row>
    <row r="72" spans="1:18" s="63" customFormat="1" ht="14.1" customHeight="1">
      <c r="A72" s="378"/>
      <c r="B72" s="378"/>
      <c r="C72" s="300" t="s">
        <v>122</v>
      </c>
      <c r="D72" s="368"/>
      <c r="E72" s="311">
        <v>2650</v>
      </c>
      <c r="F72" s="311">
        <v>0</v>
      </c>
      <c r="G72" s="380">
        <f>F72+F74-E72-E74</f>
        <v>-2624</v>
      </c>
      <c r="H72" s="393">
        <f>G72/E74</f>
        <v>-2.9683257918552037</v>
      </c>
      <c r="I72" s="1"/>
      <c r="J72" s="90"/>
      <c r="K72" s="1"/>
      <c r="L72" s="2"/>
      <c r="M72" s="1"/>
      <c r="N72" s="1"/>
      <c r="O72" s="1"/>
      <c r="P72" s="1"/>
      <c r="Q72" s="1"/>
      <c r="R72" s="89"/>
    </row>
    <row r="73" spans="1:18" s="63" customFormat="1" ht="14.1" customHeight="1">
      <c r="A73" s="377"/>
      <c r="B73" s="377"/>
      <c r="C73" s="394"/>
      <c r="D73" s="395"/>
      <c r="E73" s="311"/>
      <c r="F73" s="311"/>
      <c r="G73" s="380"/>
      <c r="H73" s="393"/>
      <c r="I73" s="107" t="s">
        <v>123</v>
      </c>
      <c r="J73" s="109">
        <v>35000</v>
      </c>
      <c r="K73" s="1" t="s">
        <v>89</v>
      </c>
      <c r="L73" s="110">
        <v>13</v>
      </c>
      <c r="M73" s="1" t="s">
        <v>94</v>
      </c>
      <c r="N73" s="1" t="s">
        <v>89</v>
      </c>
      <c r="O73" s="1">
        <v>2</v>
      </c>
      <c r="P73" s="1" t="s">
        <v>99</v>
      </c>
      <c r="Q73" s="107" t="s">
        <v>97</v>
      </c>
      <c r="R73" s="89">
        <f>J73*L73*O73</f>
        <v>910000</v>
      </c>
    </row>
    <row r="74" spans="1:18" s="63" customFormat="1" ht="24" customHeight="1">
      <c r="A74" s="377"/>
      <c r="B74" s="377"/>
      <c r="C74" s="301"/>
      <c r="D74" s="373"/>
      <c r="E74" s="220">
        <v>884</v>
      </c>
      <c r="F74" s="220">
        <f>R74/1000</f>
        <v>910</v>
      </c>
      <c r="G74" s="380"/>
      <c r="H74" s="393"/>
      <c r="I74" s="111"/>
      <c r="J74" s="112"/>
      <c r="K74" s="96"/>
      <c r="L74" s="113"/>
      <c r="M74" s="96"/>
      <c r="N74" s="96"/>
      <c r="O74" s="96"/>
      <c r="P74" s="114" t="s">
        <v>124</v>
      </c>
      <c r="Q74" s="114" t="s">
        <v>3</v>
      </c>
      <c r="R74" s="108">
        <f>SUM(R72:R73)</f>
        <v>910000</v>
      </c>
    </row>
    <row r="75" spans="1:18" s="63" customFormat="1" ht="14.1" customHeight="1">
      <c r="A75" s="378"/>
      <c r="B75" s="378"/>
      <c r="C75" s="394" t="s">
        <v>125</v>
      </c>
      <c r="D75" s="395"/>
      <c r="E75" s="304">
        <v>36532</v>
      </c>
      <c r="F75" s="304">
        <f>R77/1000</f>
        <v>38872.71</v>
      </c>
      <c r="G75" s="396">
        <f>F75+F77-E75-E77</f>
        <v>2218.5</v>
      </c>
      <c r="H75" s="397">
        <f>G75/E75:E78</f>
        <v>6.0727581298587539E-2</v>
      </c>
      <c r="I75" s="107" t="s">
        <v>126</v>
      </c>
      <c r="J75" s="4">
        <f>R70+R54-R68</f>
        <v>466472400</v>
      </c>
      <c r="K75" s="1" t="s">
        <v>127</v>
      </c>
      <c r="L75" s="115" t="s">
        <v>128</v>
      </c>
      <c r="M75" s="115"/>
      <c r="N75" s="115"/>
      <c r="O75" s="115"/>
      <c r="P75" s="115"/>
      <c r="Q75" s="1" t="s">
        <v>129</v>
      </c>
      <c r="R75" s="3">
        <f>ROUND(J75/12,-1)</f>
        <v>38872700</v>
      </c>
    </row>
    <row r="76" spans="1:18" s="63" customFormat="1" ht="19.5" customHeight="1">
      <c r="A76" s="377"/>
      <c r="B76" s="377"/>
      <c r="C76" s="394"/>
      <c r="D76" s="395"/>
      <c r="E76" s="303"/>
      <c r="F76" s="303"/>
      <c r="G76" s="396"/>
      <c r="H76" s="397"/>
      <c r="I76" s="107"/>
      <c r="J76" s="88">
        <f>R71-R69+R53</f>
        <v>27465500</v>
      </c>
      <c r="K76" s="219" t="s">
        <v>127</v>
      </c>
      <c r="L76" s="2" t="s">
        <v>128</v>
      </c>
      <c r="M76" s="219"/>
      <c r="N76" s="219"/>
      <c r="O76" s="219"/>
      <c r="P76" s="219"/>
      <c r="Q76" s="107" t="s">
        <v>129</v>
      </c>
      <c r="R76" s="89">
        <f>ROUND(J76/12,-1)+500000</f>
        <v>2788790</v>
      </c>
    </row>
    <row r="77" spans="1:18" s="63" customFormat="1" ht="18" customHeight="1">
      <c r="A77" s="377"/>
      <c r="B77" s="377"/>
      <c r="C77" s="394"/>
      <c r="D77" s="395"/>
      <c r="E77" s="304">
        <v>2911</v>
      </c>
      <c r="F77" s="304">
        <f>R78/1000</f>
        <v>2788.79</v>
      </c>
      <c r="G77" s="396"/>
      <c r="H77" s="397"/>
      <c r="I77" s="107"/>
      <c r="J77" s="109"/>
      <c r="K77" s="107"/>
      <c r="L77" s="116"/>
      <c r="M77" s="116"/>
      <c r="N77" s="116"/>
      <c r="O77" s="116"/>
      <c r="P77" s="116" t="s">
        <v>130</v>
      </c>
      <c r="Q77" s="107" t="s">
        <v>129</v>
      </c>
      <c r="R77" s="117">
        <f>SUM(R75)+10</f>
        <v>38872710</v>
      </c>
    </row>
    <row r="78" spans="1:18" s="63" customFormat="1" ht="24.75" customHeight="1">
      <c r="A78" s="374"/>
      <c r="B78" s="374"/>
      <c r="C78" s="301"/>
      <c r="D78" s="373"/>
      <c r="E78" s="303"/>
      <c r="F78" s="303"/>
      <c r="G78" s="398"/>
      <c r="H78" s="399"/>
      <c r="I78" s="118"/>
      <c r="J78" s="119"/>
      <c r="K78" s="119"/>
      <c r="L78" s="119"/>
      <c r="M78" s="119"/>
      <c r="N78" s="119"/>
      <c r="O78" s="120"/>
      <c r="P78" s="120"/>
      <c r="Q78" s="120"/>
      <c r="R78" s="121">
        <f>R76</f>
        <v>2788790</v>
      </c>
    </row>
    <row r="79" spans="1:18" ht="16.5" customHeight="1">
      <c r="A79" s="68" t="s">
        <v>131</v>
      </c>
      <c r="B79" s="68"/>
      <c r="C79" s="364" t="s">
        <v>132</v>
      </c>
      <c r="D79" s="364"/>
      <c r="E79" s="80"/>
      <c r="F79" s="80"/>
      <c r="G79" s="365"/>
      <c r="H79" s="366"/>
      <c r="I79" s="367"/>
      <c r="J79" s="367"/>
      <c r="K79" s="367"/>
      <c r="L79" s="367"/>
      <c r="M79" s="367"/>
      <c r="N79" s="367"/>
      <c r="O79" s="367"/>
      <c r="P79" s="367"/>
      <c r="Q79" s="367"/>
      <c r="R79" s="69" t="s">
        <v>57</v>
      </c>
    </row>
    <row r="80" spans="1:18" ht="21" customHeight="1">
      <c r="A80" s="315" t="s">
        <v>58</v>
      </c>
      <c r="B80" s="315" t="s">
        <v>59</v>
      </c>
      <c r="C80" s="315" t="s">
        <v>60</v>
      </c>
      <c r="D80" s="315" t="s">
        <v>61</v>
      </c>
      <c r="E80" s="70" t="s">
        <v>229</v>
      </c>
      <c r="F80" s="70" t="s">
        <v>231</v>
      </c>
      <c r="G80" s="317" t="s">
        <v>62</v>
      </c>
      <c r="H80" s="318"/>
      <c r="I80" s="319" t="s">
        <v>63</v>
      </c>
      <c r="J80" s="320"/>
      <c r="K80" s="320"/>
      <c r="L80" s="320"/>
      <c r="M80" s="320"/>
      <c r="N80" s="320"/>
      <c r="O80" s="320"/>
      <c r="P80" s="320"/>
      <c r="Q80" s="320"/>
      <c r="R80" s="321"/>
    </row>
    <row r="81" spans="1:19" ht="21" customHeight="1">
      <c r="A81" s="322"/>
      <c r="B81" s="322"/>
      <c r="C81" s="322"/>
      <c r="D81" s="322"/>
      <c r="E81" s="70" t="s">
        <v>230</v>
      </c>
      <c r="F81" s="70" t="s">
        <v>232</v>
      </c>
      <c r="G81" s="118" t="s">
        <v>64</v>
      </c>
      <c r="H81" s="324" t="s">
        <v>65</v>
      </c>
      <c r="I81" s="325"/>
      <c r="J81" s="326"/>
      <c r="K81" s="326"/>
      <c r="L81" s="326"/>
      <c r="M81" s="326"/>
      <c r="N81" s="326"/>
      <c r="O81" s="326"/>
      <c r="P81" s="326"/>
      <c r="Q81" s="326"/>
      <c r="R81" s="327"/>
    </row>
    <row r="82" spans="1:19" s="63" customFormat="1" ht="14.1" customHeight="1">
      <c r="A82" s="368"/>
      <c r="B82" s="369"/>
      <c r="C82" s="300" t="s">
        <v>133</v>
      </c>
      <c r="D82" s="225"/>
      <c r="E82" s="304">
        <v>44646</v>
      </c>
      <c r="F82" s="304">
        <f>R92/1000</f>
        <v>40872.89</v>
      </c>
      <c r="G82" s="400">
        <f>F82+F84-E82-E84</f>
        <v>3360.8000000000029</v>
      </c>
      <c r="H82" s="401">
        <f>G82/E82:E85</f>
        <v>7.5276620525915036E-2</v>
      </c>
      <c r="I82" s="125" t="s">
        <v>134</v>
      </c>
      <c r="J82" s="133">
        <f>J75</f>
        <v>466472400</v>
      </c>
      <c r="K82" s="125" t="s">
        <v>135</v>
      </c>
      <c r="L82" s="134" t="s">
        <v>243</v>
      </c>
      <c r="M82" s="135"/>
      <c r="N82" s="135"/>
      <c r="O82" s="135"/>
      <c r="P82" s="136"/>
      <c r="Q82" s="137" t="s">
        <v>136</v>
      </c>
      <c r="R82" s="138">
        <f>ROUND(J82*L82,-1)</f>
        <v>16326530</v>
      </c>
    </row>
    <row r="83" spans="1:19" s="63" customFormat="1" ht="14.1" customHeight="1">
      <c r="A83" s="395"/>
      <c r="B83" s="377"/>
      <c r="C83" s="394"/>
      <c r="D83" s="394"/>
      <c r="E83" s="303"/>
      <c r="F83" s="303"/>
      <c r="G83" s="396"/>
      <c r="H83" s="397"/>
      <c r="I83" s="107" t="s">
        <v>137</v>
      </c>
      <c r="J83" s="4">
        <f>J82</f>
        <v>466472400</v>
      </c>
      <c r="K83" s="107" t="s">
        <v>135</v>
      </c>
      <c r="L83" s="139" t="s">
        <v>138</v>
      </c>
      <c r="M83" s="139"/>
      <c r="N83" s="139"/>
      <c r="O83" s="139"/>
      <c r="P83" s="140"/>
      <c r="Q83" s="107" t="s">
        <v>136</v>
      </c>
      <c r="R83" s="141">
        <f>ROUND(J83*L83,-1)-R84</f>
        <v>13584260</v>
      </c>
    </row>
    <row r="84" spans="1:19" s="63" customFormat="1" ht="14.1" customHeight="1">
      <c r="A84" s="395"/>
      <c r="B84" s="377"/>
      <c r="C84" s="394"/>
      <c r="D84" s="394"/>
      <c r="E84" s="304">
        <v>3616</v>
      </c>
      <c r="F84" s="304">
        <f>R93/1000</f>
        <v>10749.91</v>
      </c>
      <c r="G84" s="396"/>
      <c r="H84" s="397"/>
      <c r="I84" s="107"/>
      <c r="J84" s="4"/>
      <c r="K84" s="107"/>
      <c r="L84" s="139"/>
      <c r="M84" s="139"/>
      <c r="N84" s="139"/>
      <c r="O84" s="139"/>
      <c r="P84" s="140"/>
      <c r="Q84" s="107"/>
      <c r="R84" s="142">
        <f>10422000-3015000</f>
        <v>7407000</v>
      </c>
    </row>
    <row r="85" spans="1:19" s="63" customFormat="1" ht="14.1" customHeight="1">
      <c r="A85" s="395"/>
      <c r="B85" s="377"/>
      <c r="C85" s="301"/>
      <c r="D85" s="402"/>
      <c r="E85" s="303"/>
      <c r="F85" s="303"/>
      <c r="G85" s="398"/>
      <c r="H85" s="399"/>
      <c r="I85" s="107" t="s">
        <v>139</v>
      </c>
      <c r="J85" s="4">
        <f>J83</f>
        <v>466472400</v>
      </c>
      <c r="K85" s="107" t="s">
        <v>12</v>
      </c>
      <c r="L85" s="139" t="s">
        <v>244</v>
      </c>
      <c r="M85" s="139"/>
      <c r="N85" s="139"/>
      <c r="O85" s="139"/>
      <c r="P85" s="140"/>
      <c r="Q85" s="107" t="s">
        <v>4</v>
      </c>
      <c r="R85" s="141">
        <f>ROUND(J85*L85,-1)</f>
        <v>7696790</v>
      </c>
    </row>
    <row r="86" spans="1:19" s="63" customFormat="1" ht="14.1" customHeight="1">
      <c r="A86" s="395"/>
      <c r="B86" s="377"/>
      <c r="C86" s="225"/>
      <c r="D86" s="225"/>
      <c r="E86" s="217"/>
      <c r="F86" s="217"/>
      <c r="G86" s="403"/>
      <c r="H86" s="404"/>
      <c r="I86" s="107" t="s">
        <v>140</v>
      </c>
      <c r="J86" s="4">
        <f>J83</f>
        <v>466472400</v>
      </c>
      <c r="K86" s="107" t="s">
        <v>12</v>
      </c>
      <c r="L86" s="139" t="s">
        <v>245</v>
      </c>
      <c r="M86" s="139"/>
      <c r="N86" s="139"/>
      <c r="O86" s="139"/>
      <c r="P86" s="140"/>
      <c r="Q86" s="107" t="s">
        <v>4</v>
      </c>
      <c r="R86" s="141">
        <f>ROUND(J86*L86,-1)</f>
        <v>3265310</v>
      </c>
    </row>
    <row r="87" spans="1:19" s="63" customFormat="1" ht="14.1" customHeight="1">
      <c r="A87" s="395"/>
      <c r="B87" s="377"/>
      <c r="C87" s="402"/>
      <c r="D87" s="402"/>
      <c r="E87" s="218"/>
      <c r="F87" s="218"/>
      <c r="G87" s="405"/>
      <c r="H87" s="406"/>
      <c r="I87" s="107"/>
      <c r="J87" s="4"/>
      <c r="K87" s="107"/>
      <c r="L87" s="139"/>
      <c r="M87" s="139"/>
      <c r="N87" s="139"/>
      <c r="O87" s="139"/>
      <c r="P87" s="140"/>
      <c r="Q87" s="107"/>
      <c r="R87" s="142"/>
    </row>
    <row r="88" spans="1:19" s="63" customFormat="1" ht="14.1" customHeight="1">
      <c r="A88" s="395"/>
      <c r="B88" s="377"/>
      <c r="C88" s="407"/>
      <c r="D88" s="402"/>
      <c r="E88" s="77"/>
      <c r="F88" s="77"/>
      <c r="G88" s="405"/>
      <c r="H88" s="406"/>
      <c r="I88" s="130" t="s">
        <v>5</v>
      </c>
      <c r="J88" s="109">
        <f>J76</f>
        <v>27465500</v>
      </c>
      <c r="K88" s="107" t="s">
        <v>135</v>
      </c>
      <c r="L88" s="143" t="s">
        <v>243</v>
      </c>
      <c r="M88" s="139"/>
      <c r="N88" s="139"/>
      <c r="O88" s="139"/>
      <c r="P88" s="140"/>
      <c r="Q88" s="144" t="s">
        <v>136</v>
      </c>
      <c r="R88" s="127">
        <f>ROUND(J88*L88,-1)</f>
        <v>961290</v>
      </c>
    </row>
    <row r="89" spans="1:19" s="63" customFormat="1" ht="14.1" customHeight="1">
      <c r="A89" s="395"/>
      <c r="B89" s="377"/>
      <c r="C89" s="407"/>
      <c r="D89" s="402"/>
      <c r="E89" s="77"/>
      <c r="F89" s="77"/>
      <c r="G89" s="405"/>
      <c r="H89" s="406"/>
      <c r="I89" s="107" t="s">
        <v>6</v>
      </c>
      <c r="J89" s="109">
        <f>J88</f>
        <v>27465500</v>
      </c>
      <c r="K89" s="107" t="s">
        <v>135</v>
      </c>
      <c r="L89" s="139" t="s">
        <v>138</v>
      </c>
      <c r="M89" s="139"/>
      <c r="N89" s="139"/>
      <c r="O89" s="139"/>
      <c r="P89" s="140"/>
      <c r="Q89" s="107" t="s">
        <v>136</v>
      </c>
      <c r="R89" s="127">
        <f>ROUND(J89*L89,-1)+500230</f>
        <v>1736180</v>
      </c>
    </row>
    <row r="90" spans="1:19" s="63" customFormat="1" ht="14.1" customHeight="1">
      <c r="A90" s="395"/>
      <c r="B90" s="377"/>
      <c r="C90" s="407"/>
      <c r="D90" s="402"/>
      <c r="E90" s="77"/>
      <c r="F90" s="77"/>
      <c r="G90" s="405"/>
      <c r="H90" s="406"/>
      <c r="I90" s="107" t="s">
        <v>7</v>
      </c>
      <c r="J90" s="109">
        <f>J88</f>
        <v>27465500</v>
      </c>
      <c r="K90" s="107" t="s">
        <v>135</v>
      </c>
      <c r="L90" s="139" t="s">
        <v>244</v>
      </c>
      <c r="M90" s="139"/>
      <c r="N90" s="139"/>
      <c r="O90" s="139"/>
      <c r="P90" s="140"/>
      <c r="Q90" s="107" t="s">
        <v>136</v>
      </c>
      <c r="R90" s="127">
        <f>ROUND(J90*L90,-1)</f>
        <v>453180</v>
      </c>
      <c r="S90" s="308"/>
    </row>
    <row r="91" spans="1:19" s="63" customFormat="1" ht="14.1" customHeight="1">
      <c r="A91" s="395"/>
      <c r="B91" s="377"/>
      <c r="C91" s="407"/>
      <c r="D91" s="402"/>
      <c r="E91" s="77"/>
      <c r="F91" s="77"/>
      <c r="G91" s="405"/>
      <c r="H91" s="406"/>
      <c r="I91" s="107" t="s">
        <v>8</v>
      </c>
      <c r="J91" s="109">
        <f>J88</f>
        <v>27465500</v>
      </c>
      <c r="K91" s="107" t="s">
        <v>135</v>
      </c>
      <c r="L91" s="139" t="s">
        <v>245</v>
      </c>
      <c r="M91" s="139"/>
      <c r="N91" s="139"/>
      <c r="O91" s="139"/>
      <c r="P91" s="140"/>
      <c r="Q91" s="107" t="s">
        <v>136</v>
      </c>
      <c r="R91" s="127">
        <f>ROUND(J91*L91,-1)</f>
        <v>192260</v>
      </c>
      <c r="S91" s="308"/>
    </row>
    <row r="92" spans="1:19" s="63" customFormat="1" ht="14.1" customHeight="1">
      <c r="A92" s="395"/>
      <c r="B92" s="377"/>
      <c r="C92" s="407"/>
      <c r="D92" s="402"/>
      <c r="E92" s="77"/>
      <c r="F92" s="77"/>
      <c r="G92" s="405"/>
      <c r="H92" s="406"/>
      <c r="I92" s="107"/>
      <c r="J92" s="109"/>
      <c r="K92" s="107"/>
      <c r="L92" s="145"/>
      <c r="M92" s="145"/>
      <c r="N92" s="145"/>
      <c r="O92" s="145"/>
      <c r="P92" s="146" t="s">
        <v>130</v>
      </c>
      <c r="Q92" s="107" t="s">
        <v>129</v>
      </c>
      <c r="R92" s="141">
        <f>SUM(R82:R86)-R84</f>
        <v>40872890</v>
      </c>
    </row>
    <row r="93" spans="1:19" s="63" customFormat="1" ht="14.1" customHeight="1">
      <c r="A93" s="395"/>
      <c r="B93" s="387"/>
      <c r="C93" s="408"/>
      <c r="D93" s="226"/>
      <c r="E93" s="78"/>
      <c r="F93" s="78"/>
      <c r="G93" s="409"/>
      <c r="H93" s="410"/>
      <c r="I93" s="111"/>
      <c r="J93" s="147"/>
      <c r="K93" s="111"/>
      <c r="L93" s="148"/>
      <c r="M93" s="148"/>
      <c r="N93" s="148"/>
      <c r="O93" s="149"/>
      <c r="P93" s="150"/>
      <c r="Q93" s="150"/>
      <c r="R93" s="151">
        <f>SUM(R88:R91)+R84</f>
        <v>10749910</v>
      </c>
    </row>
    <row r="94" spans="1:19" s="63" customFormat="1" ht="16.5" customHeight="1">
      <c r="A94" s="395"/>
      <c r="B94" s="394" t="s">
        <v>141</v>
      </c>
      <c r="C94" s="384"/>
      <c r="D94" s="190"/>
      <c r="E94" s="77">
        <v>0</v>
      </c>
      <c r="F94" s="77">
        <f>F96+F98</f>
        <v>0</v>
      </c>
      <c r="G94" s="411">
        <f>F94+F95-E94-E95</f>
        <v>-900</v>
      </c>
      <c r="H94" s="412">
        <f>G94/E95</f>
        <v>-0.22522522522522523</v>
      </c>
      <c r="I94" s="130"/>
      <c r="J94" s="4"/>
      <c r="K94" s="107"/>
      <c r="L94" s="107"/>
      <c r="M94" s="107"/>
      <c r="N94" s="107"/>
      <c r="O94" s="107"/>
      <c r="P94" s="107"/>
      <c r="Q94" s="107"/>
      <c r="R94" s="413"/>
    </row>
    <row r="95" spans="1:19" s="63" customFormat="1" ht="16.5" customHeight="1">
      <c r="A95" s="395"/>
      <c r="B95" s="373"/>
      <c r="C95" s="379"/>
      <c r="D95" s="414"/>
      <c r="E95" s="76">
        <f>+E97+E99</f>
        <v>3996</v>
      </c>
      <c r="F95" s="76">
        <f>+F97+F99</f>
        <v>3096</v>
      </c>
      <c r="G95" s="415"/>
      <c r="H95" s="352"/>
      <c r="I95" s="111"/>
      <c r="J95" s="123"/>
      <c r="K95" s="111"/>
      <c r="L95" s="111"/>
      <c r="M95" s="111"/>
      <c r="N95" s="111"/>
      <c r="O95" s="111"/>
      <c r="P95" s="111"/>
      <c r="Q95" s="111"/>
      <c r="R95" s="132">
        <f>R97+R103</f>
        <v>3096000</v>
      </c>
    </row>
    <row r="96" spans="1:19" s="63" customFormat="1" ht="16.5" hidden="1" customHeight="1">
      <c r="A96" s="395"/>
      <c r="B96" s="107"/>
      <c r="C96" s="300" t="s">
        <v>142</v>
      </c>
      <c r="D96" s="225"/>
      <c r="E96" s="79">
        <v>0</v>
      </c>
      <c r="F96" s="79">
        <v>0</v>
      </c>
      <c r="G96" s="416">
        <f>F96+F97-E96-E97</f>
        <v>0</v>
      </c>
      <c r="H96" s="346" t="e">
        <f>G96/E97</f>
        <v>#DIV/0!</v>
      </c>
      <c r="I96" s="107" t="s">
        <v>143</v>
      </c>
      <c r="J96" s="109">
        <v>10000</v>
      </c>
      <c r="K96" s="107" t="s">
        <v>127</v>
      </c>
      <c r="L96" s="107">
        <v>12</v>
      </c>
      <c r="M96" s="107" t="s">
        <v>144</v>
      </c>
      <c r="N96" s="107"/>
      <c r="O96" s="107"/>
      <c r="P96" s="107"/>
      <c r="Q96" s="107" t="s">
        <v>129</v>
      </c>
      <c r="R96" s="122">
        <v>0</v>
      </c>
    </row>
    <row r="97" spans="1:18" s="63" customFormat="1" ht="16.5" hidden="1" customHeight="1">
      <c r="A97" s="395"/>
      <c r="B97" s="378"/>
      <c r="C97" s="373"/>
      <c r="D97" s="374"/>
      <c r="E97" s="76">
        <v>0</v>
      </c>
      <c r="F97" s="76">
        <f>R97/1000</f>
        <v>0</v>
      </c>
      <c r="G97" s="415"/>
      <c r="H97" s="352"/>
      <c r="I97" s="111"/>
      <c r="J97" s="123"/>
      <c r="K97" s="111"/>
      <c r="L97" s="111"/>
      <c r="M97" s="111"/>
      <c r="N97" s="111"/>
      <c r="O97" s="111"/>
      <c r="P97" s="111"/>
      <c r="Q97" s="111" t="s">
        <v>145</v>
      </c>
      <c r="R97" s="124">
        <f>R96</f>
        <v>0</v>
      </c>
    </row>
    <row r="98" spans="1:18" s="63" customFormat="1" ht="16.5" customHeight="1">
      <c r="A98" s="395"/>
      <c r="B98" s="378"/>
      <c r="C98" s="300" t="s">
        <v>146</v>
      </c>
      <c r="D98" s="369"/>
      <c r="E98" s="76">
        <v>0</v>
      </c>
      <c r="F98" s="76">
        <v>0</v>
      </c>
      <c r="G98" s="416">
        <f>F98+F99-E98-E99</f>
        <v>-900</v>
      </c>
      <c r="H98" s="346">
        <f>G98/E99</f>
        <v>-0.22522522522522523</v>
      </c>
      <c r="I98" s="125" t="s">
        <v>147</v>
      </c>
      <c r="J98" s="126">
        <v>100000</v>
      </c>
      <c r="K98" s="107" t="s">
        <v>127</v>
      </c>
      <c r="L98" s="107">
        <v>12</v>
      </c>
      <c r="M98" s="107" t="s">
        <v>144</v>
      </c>
      <c r="N98" s="107"/>
      <c r="O98" s="107"/>
      <c r="P98" s="107"/>
      <c r="Q98" s="107" t="s">
        <v>129</v>
      </c>
      <c r="R98" s="127">
        <f>J98*L98</f>
        <v>1200000</v>
      </c>
    </row>
    <row r="99" spans="1:18" s="63" customFormat="1" ht="16.5" customHeight="1">
      <c r="A99" s="395"/>
      <c r="B99" s="378"/>
      <c r="C99" s="394"/>
      <c r="D99" s="377"/>
      <c r="E99" s="79">
        <v>3996</v>
      </c>
      <c r="F99" s="79">
        <f>R103/1000</f>
        <v>3096</v>
      </c>
      <c r="G99" s="411"/>
      <c r="H99" s="412"/>
      <c r="I99" s="107" t="s">
        <v>148</v>
      </c>
      <c r="J99" s="126">
        <v>20000</v>
      </c>
      <c r="K99" s="107" t="s">
        <v>135</v>
      </c>
      <c r="L99" s="107">
        <v>12</v>
      </c>
      <c r="M99" s="107" t="s">
        <v>149</v>
      </c>
      <c r="N99" s="107"/>
      <c r="O99" s="107"/>
      <c r="P99" s="107"/>
      <c r="Q99" s="128" t="s">
        <v>136</v>
      </c>
      <c r="R99" s="129">
        <f>J99*L99</f>
        <v>240000</v>
      </c>
    </row>
    <row r="100" spans="1:18" s="63" customFormat="1" ht="16.5" customHeight="1">
      <c r="A100" s="395"/>
      <c r="B100" s="378"/>
      <c r="C100" s="417"/>
      <c r="D100" s="225"/>
      <c r="E100" s="79"/>
      <c r="F100" s="79"/>
      <c r="G100" s="418"/>
      <c r="H100" s="419"/>
      <c r="I100" s="130" t="s">
        <v>150</v>
      </c>
      <c r="J100" s="126">
        <v>50000</v>
      </c>
      <c r="K100" s="107" t="s">
        <v>135</v>
      </c>
      <c r="L100" s="107">
        <v>12</v>
      </c>
      <c r="M100" s="107" t="s">
        <v>151</v>
      </c>
      <c r="N100" s="107"/>
      <c r="O100" s="107"/>
      <c r="P100" s="107"/>
      <c r="Q100" s="128" t="s">
        <v>136</v>
      </c>
      <c r="R100" s="129">
        <f>J100*L100</f>
        <v>600000</v>
      </c>
    </row>
    <row r="101" spans="1:18" s="63" customFormat="1" ht="16.5" customHeight="1">
      <c r="A101" s="395"/>
      <c r="B101" s="378"/>
      <c r="C101" s="384"/>
      <c r="D101" s="384"/>
      <c r="E101" s="77"/>
      <c r="F101" s="77"/>
      <c r="G101" s="158"/>
      <c r="H101" s="420"/>
      <c r="I101" s="130" t="s">
        <v>195</v>
      </c>
      <c r="J101" s="131">
        <v>88000</v>
      </c>
      <c r="K101" s="107" t="s">
        <v>127</v>
      </c>
      <c r="L101" s="107">
        <v>12</v>
      </c>
      <c r="M101" s="107" t="s">
        <v>152</v>
      </c>
      <c r="N101" s="107"/>
      <c r="O101" s="107"/>
      <c r="P101" s="107"/>
      <c r="Q101" s="107" t="s">
        <v>129</v>
      </c>
      <c r="R101" s="129">
        <f>J101*L101</f>
        <v>1056000</v>
      </c>
    </row>
    <row r="102" spans="1:18" s="63" customFormat="1" ht="16.5" customHeight="1">
      <c r="A102" s="395"/>
      <c r="B102" s="107"/>
      <c r="C102" s="384"/>
      <c r="D102" s="421"/>
      <c r="E102" s="77"/>
      <c r="F102" s="77"/>
      <c r="G102" s="158"/>
      <c r="H102" s="386"/>
      <c r="I102" s="107"/>
      <c r="J102" s="131"/>
      <c r="K102" s="107"/>
      <c r="L102" s="107"/>
      <c r="M102" s="107"/>
      <c r="N102" s="107"/>
      <c r="O102" s="107"/>
      <c r="P102" s="107"/>
      <c r="Q102" s="107"/>
      <c r="R102" s="129"/>
    </row>
    <row r="103" spans="1:18" s="63" customFormat="1" ht="16.5" customHeight="1">
      <c r="A103" s="395"/>
      <c r="B103" s="107"/>
      <c r="C103" s="379"/>
      <c r="D103" s="422"/>
      <c r="E103" s="78"/>
      <c r="F103" s="78"/>
      <c r="G103" s="423"/>
      <c r="H103" s="388"/>
      <c r="I103" s="111"/>
      <c r="J103" s="123"/>
      <c r="K103" s="111"/>
      <c r="L103" s="111"/>
      <c r="M103" s="111"/>
      <c r="N103" s="111"/>
      <c r="O103" s="111"/>
      <c r="P103" s="111"/>
      <c r="Q103" s="111" t="s">
        <v>145</v>
      </c>
      <c r="R103" s="132">
        <f>SUM(R98:R102)</f>
        <v>3096000</v>
      </c>
    </row>
    <row r="104" spans="1:18" ht="14.25" customHeight="1">
      <c r="A104" s="68" t="s">
        <v>131</v>
      </c>
      <c r="B104" s="68"/>
      <c r="C104" s="364" t="s">
        <v>132</v>
      </c>
      <c r="D104" s="364"/>
      <c r="E104" s="80"/>
      <c r="F104" s="80"/>
      <c r="G104" s="365"/>
      <c r="H104" s="366"/>
      <c r="I104" s="367"/>
      <c r="J104" s="367"/>
      <c r="K104" s="367"/>
      <c r="L104" s="367"/>
      <c r="M104" s="367"/>
      <c r="N104" s="367"/>
      <c r="O104" s="367"/>
      <c r="P104" s="367"/>
      <c r="Q104" s="367"/>
      <c r="R104" s="69" t="s">
        <v>57</v>
      </c>
    </row>
    <row r="105" spans="1:18" ht="15.75" customHeight="1">
      <c r="A105" s="315" t="s">
        <v>58</v>
      </c>
      <c r="B105" s="315" t="s">
        <v>59</v>
      </c>
      <c r="C105" s="315" t="s">
        <v>60</v>
      </c>
      <c r="D105" s="315" t="s">
        <v>61</v>
      </c>
      <c r="E105" s="70" t="s">
        <v>229</v>
      </c>
      <c r="F105" s="70" t="s">
        <v>231</v>
      </c>
      <c r="G105" s="317" t="s">
        <v>62</v>
      </c>
      <c r="H105" s="318"/>
      <c r="I105" s="319" t="s">
        <v>63</v>
      </c>
      <c r="J105" s="320"/>
      <c r="K105" s="320"/>
      <c r="L105" s="320"/>
      <c r="M105" s="320"/>
      <c r="N105" s="320"/>
      <c r="O105" s="320"/>
      <c r="P105" s="320"/>
      <c r="Q105" s="320"/>
      <c r="R105" s="321"/>
    </row>
    <row r="106" spans="1:18" ht="17.25" customHeight="1">
      <c r="A106" s="322"/>
      <c r="B106" s="322"/>
      <c r="C106" s="322"/>
      <c r="D106" s="322"/>
      <c r="E106" s="70" t="s">
        <v>230</v>
      </c>
      <c r="F106" s="70" t="s">
        <v>232</v>
      </c>
      <c r="G106" s="118" t="s">
        <v>64</v>
      </c>
      <c r="H106" s="324" t="s">
        <v>65</v>
      </c>
      <c r="I106" s="325"/>
      <c r="J106" s="326"/>
      <c r="K106" s="326"/>
      <c r="L106" s="326"/>
      <c r="M106" s="326"/>
      <c r="N106" s="326"/>
      <c r="O106" s="326"/>
      <c r="P106" s="326"/>
      <c r="Q106" s="326"/>
      <c r="R106" s="327"/>
    </row>
    <row r="107" spans="1:18" s="63" customFormat="1" ht="12" hidden="1" customHeight="1">
      <c r="A107" s="300" t="s">
        <v>154</v>
      </c>
      <c r="B107" s="368" t="s">
        <v>155</v>
      </c>
      <c r="C107" s="424"/>
      <c r="D107" s="425"/>
      <c r="E107" s="79">
        <f>E109+E111</f>
        <v>0</v>
      </c>
      <c r="F107" s="79">
        <f>F109+F111</f>
        <v>0</v>
      </c>
      <c r="G107" s="426">
        <f>F107+F108-E108-E107</f>
        <v>0</v>
      </c>
      <c r="H107" s="346" t="e">
        <f>G107/E108</f>
        <v>#DIV/0!</v>
      </c>
      <c r="I107" s="204"/>
      <c r="J107" s="133"/>
      <c r="K107" s="125"/>
      <c r="L107" s="125"/>
      <c r="M107" s="125"/>
      <c r="N107" s="125"/>
      <c r="O107" s="125"/>
      <c r="P107" s="125"/>
      <c r="Q107" s="125"/>
      <c r="R107" s="427">
        <f>R113</f>
        <v>0</v>
      </c>
    </row>
    <row r="108" spans="1:18" s="63" customFormat="1" ht="16.5" hidden="1" customHeight="1">
      <c r="A108" s="301"/>
      <c r="B108" s="373"/>
      <c r="C108" s="428"/>
      <c r="D108" s="429"/>
      <c r="E108" s="76">
        <f>E110+E113</f>
        <v>0</v>
      </c>
      <c r="F108" s="76">
        <f>F110+F113</f>
        <v>0</v>
      </c>
      <c r="G108" s="430"/>
      <c r="H108" s="352"/>
      <c r="I108" s="174"/>
      <c r="J108" s="123"/>
      <c r="K108" s="111"/>
      <c r="L108" s="111"/>
      <c r="M108" s="111"/>
      <c r="N108" s="111"/>
      <c r="O108" s="111"/>
      <c r="P108" s="111"/>
      <c r="Q108" s="111"/>
      <c r="R108" s="132">
        <f>R110+R114</f>
        <v>0</v>
      </c>
    </row>
    <row r="109" spans="1:18" s="63" customFormat="1" ht="16.5" hidden="1" customHeight="1">
      <c r="A109" s="431"/>
      <c r="B109" s="431"/>
      <c r="C109" s="300" t="s">
        <v>156</v>
      </c>
      <c r="D109" s="432"/>
      <c r="E109" s="79">
        <v>0</v>
      </c>
      <c r="F109" s="79">
        <v>0</v>
      </c>
      <c r="G109" s="426">
        <f>F110-E110</f>
        <v>0</v>
      </c>
      <c r="H109" s="346" t="e">
        <f>G109/E110</f>
        <v>#DIV/0!</v>
      </c>
      <c r="I109" s="204"/>
      <c r="J109" s="433"/>
      <c r="K109" s="125"/>
      <c r="L109" s="125"/>
      <c r="M109" s="125"/>
      <c r="N109" s="125"/>
      <c r="O109" s="125"/>
      <c r="P109" s="125"/>
      <c r="Q109" s="125"/>
      <c r="R109" s="434"/>
    </row>
    <row r="110" spans="1:18" s="63" customFormat="1" ht="16.5" hidden="1" customHeight="1">
      <c r="A110" s="378"/>
      <c r="B110" s="378"/>
      <c r="C110" s="394"/>
      <c r="D110" s="385"/>
      <c r="E110" s="79">
        <v>0</v>
      </c>
      <c r="F110" s="79">
        <f>R110/1000</f>
        <v>0</v>
      </c>
      <c r="G110" s="435"/>
      <c r="H110" s="412"/>
      <c r="I110" s="174"/>
      <c r="J110" s="112"/>
      <c r="K110" s="111"/>
      <c r="L110" s="111"/>
      <c r="M110" s="111"/>
      <c r="N110" s="111"/>
      <c r="O110" s="111"/>
      <c r="P110" s="111"/>
      <c r="Q110" s="111"/>
      <c r="R110" s="132"/>
    </row>
    <row r="111" spans="1:18" s="63" customFormat="1" ht="16.5" hidden="1" customHeight="1">
      <c r="A111" s="377"/>
      <c r="B111" s="377"/>
      <c r="C111" s="300" t="s">
        <v>157</v>
      </c>
      <c r="D111" s="436"/>
      <c r="E111" s="304">
        <v>0</v>
      </c>
      <c r="F111" s="304">
        <f>R113/1000</f>
        <v>0</v>
      </c>
      <c r="G111" s="426">
        <f>F111+F113-E111-E113</f>
        <v>0</v>
      </c>
      <c r="H111" s="346" t="e">
        <f>G111/E111:E114</f>
        <v>#DIV/0!</v>
      </c>
      <c r="I111" s="107"/>
      <c r="J111" s="131"/>
      <c r="K111" s="107"/>
      <c r="L111" s="107"/>
      <c r="M111" s="107"/>
      <c r="N111" s="107"/>
      <c r="O111" s="107"/>
      <c r="P111" s="107"/>
      <c r="Q111" s="107"/>
      <c r="R111" s="122"/>
    </row>
    <row r="112" spans="1:18" s="63" customFormat="1" ht="16.5" hidden="1" customHeight="1">
      <c r="A112" s="377"/>
      <c r="B112" s="437"/>
      <c r="C112" s="394"/>
      <c r="D112" s="438"/>
      <c r="E112" s="303"/>
      <c r="F112" s="303"/>
      <c r="G112" s="435"/>
      <c r="H112" s="412"/>
      <c r="I112" s="107"/>
      <c r="J112" s="131"/>
      <c r="K112" s="107"/>
      <c r="L112" s="107"/>
      <c r="M112" s="107"/>
      <c r="N112" s="107"/>
      <c r="O112" s="107"/>
      <c r="P112" s="107"/>
      <c r="Q112" s="107"/>
      <c r="R112" s="122"/>
    </row>
    <row r="113" spans="1:18" s="63" customFormat="1" ht="12" hidden="1" customHeight="1">
      <c r="A113" s="377"/>
      <c r="B113" s="162"/>
      <c r="C113" s="394"/>
      <c r="D113" s="439"/>
      <c r="E113" s="304">
        <v>0</v>
      </c>
      <c r="F113" s="304">
        <f>R114/1000</f>
        <v>0</v>
      </c>
      <c r="G113" s="435"/>
      <c r="H113" s="412"/>
      <c r="I113" s="107"/>
      <c r="J113" s="131"/>
      <c r="K113" s="107"/>
      <c r="L113" s="107"/>
      <c r="M113" s="107"/>
      <c r="N113" s="107"/>
      <c r="O113" s="107"/>
      <c r="P113" s="107"/>
      <c r="Q113" s="107"/>
      <c r="R113" s="117"/>
    </row>
    <row r="114" spans="1:18" s="63" customFormat="1" ht="20.25" hidden="1" customHeight="1">
      <c r="A114" s="387"/>
      <c r="B114" s="111"/>
      <c r="C114" s="301"/>
      <c r="D114" s="422"/>
      <c r="E114" s="303"/>
      <c r="F114" s="303"/>
      <c r="G114" s="430"/>
      <c r="H114" s="352"/>
      <c r="I114" s="111"/>
      <c r="J114" s="112"/>
      <c r="K114" s="111"/>
      <c r="L114" s="111"/>
      <c r="M114" s="111"/>
      <c r="N114" s="111"/>
      <c r="O114" s="111"/>
      <c r="P114" s="111"/>
      <c r="Q114" s="107"/>
      <c r="R114" s="132"/>
    </row>
    <row r="115" spans="1:18" s="63" customFormat="1" ht="15.4" customHeight="1">
      <c r="A115" s="368" t="s">
        <v>158</v>
      </c>
      <c r="B115" s="125"/>
      <c r="C115" s="440"/>
      <c r="D115" s="189"/>
      <c r="E115" s="79">
        <f>E117</f>
        <v>106104</v>
      </c>
      <c r="F115" s="79">
        <f>F117</f>
        <v>108225</v>
      </c>
      <c r="G115" s="441">
        <f>F115+F116-E115-E116</f>
        <v>5502.7999999999884</v>
      </c>
      <c r="H115" s="346">
        <f>G115/E115:E116</f>
        <v>5.1862323757822404E-2</v>
      </c>
      <c r="I115" s="125"/>
      <c r="J115" s="133"/>
      <c r="K115" s="125"/>
      <c r="L115" s="125"/>
      <c r="M115" s="125"/>
      <c r="N115" s="125"/>
      <c r="O115" s="125"/>
      <c r="P115" s="125"/>
      <c r="Q115" s="125"/>
      <c r="R115" s="442">
        <f>R117</f>
        <v>108225000</v>
      </c>
    </row>
    <row r="116" spans="1:18" s="63" customFormat="1" ht="15.4" customHeight="1">
      <c r="A116" s="373"/>
      <c r="B116" s="111"/>
      <c r="C116" s="379"/>
      <c r="D116" s="414"/>
      <c r="E116" s="76">
        <f>E118</f>
        <v>61768</v>
      </c>
      <c r="F116" s="76">
        <f>F118</f>
        <v>65149.8</v>
      </c>
      <c r="G116" s="443"/>
      <c r="H116" s="352"/>
      <c r="I116" s="111"/>
      <c r="J116" s="123"/>
      <c r="K116" s="111"/>
      <c r="L116" s="111"/>
      <c r="M116" s="111"/>
      <c r="N116" s="111"/>
      <c r="O116" s="111"/>
      <c r="P116" s="111"/>
      <c r="Q116" s="111"/>
      <c r="R116" s="132">
        <f>R118</f>
        <v>65149800</v>
      </c>
    </row>
    <row r="117" spans="1:18" s="63" customFormat="1" ht="15.4" customHeight="1">
      <c r="A117" s="377"/>
      <c r="B117" s="368" t="s">
        <v>158</v>
      </c>
      <c r="C117" s="384"/>
      <c r="D117" s="190"/>
      <c r="E117" s="76">
        <f>E119+E145+E196</f>
        <v>106104</v>
      </c>
      <c r="F117" s="76">
        <f>F119+F145+F196</f>
        <v>108225</v>
      </c>
      <c r="G117" s="441">
        <f>F117+F118-E117-E118</f>
        <v>5502.7999999999884</v>
      </c>
      <c r="H117" s="346">
        <f>G117/E117:E118</f>
        <v>5.1862323757822404E-2</v>
      </c>
      <c r="I117" s="107"/>
      <c r="J117" s="4"/>
      <c r="K117" s="107"/>
      <c r="L117" s="107"/>
      <c r="M117" s="107"/>
      <c r="N117" s="107"/>
      <c r="O117" s="107"/>
      <c r="P117" s="107"/>
      <c r="Q117" s="107"/>
      <c r="R117" s="444">
        <f>R119+R145+R196</f>
        <v>108225000</v>
      </c>
    </row>
    <row r="118" spans="1:18" s="63" customFormat="1" ht="15.4" customHeight="1">
      <c r="A118" s="377"/>
      <c r="B118" s="395"/>
      <c r="C118" s="384"/>
      <c r="D118" s="190"/>
      <c r="E118" s="77">
        <f>E120+E146+E197</f>
        <v>61768</v>
      </c>
      <c r="F118" s="77">
        <f>F120+F146+F197</f>
        <v>65149.8</v>
      </c>
      <c r="G118" s="445"/>
      <c r="H118" s="352"/>
      <c r="I118" s="107"/>
      <c r="J118" s="4"/>
      <c r="K118" s="107"/>
      <c r="L118" s="107"/>
      <c r="M118" s="107"/>
      <c r="N118" s="107"/>
      <c r="O118" s="107"/>
      <c r="P118" s="107"/>
      <c r="Q118" s="107"/>
      <c r="R118" s="142">
        <f>R120+R146+R197</f>
        <v>65149800</v>
      </c>
    </row>
    <row r="119" spans="1:18" s="63" customFormat="1" ht="15.4" customHeight="1">
      <c r="A119" s="378"/>
      <c r="B119" s="417"/>
      <c r="C119" s="446" t="s">
        <v>159</v>
      </c>
      <c r="D119" s="440"/>
      <c r="E119" s="76">
        <f>E121+E136</f>
        <v>56425</v>
      </c>
      <c r="F119" s="76">
        <f>F121+F136</f>
        <v>55352.2</v>
      </c>
      <c r="G119" s="441">
        <f>F119+F120-E119-E120</f>
        <v>8400</v>
      </c>
      <c r="H119" s="346">
        <f>G119/E119:E120</f>
        <v>0.14887018165706689</v>
      </c>
      <c r="I119" s="125"/>
      <c r="J119" s="133"/>
      <c r="K119" s="125"/>
      <c r="L119" s="125"/>
      <c r="M119" s="125"/>
      <c r="N119" s="125"/>
      <c r="O119" s="125"/>
      <c r="P119" s="125"/>
      <c r="Q119" s="125"/>
      <c r="R119" s="442">
        <f>R134+R140</f>
        <v>55352200</v>
      </c>
    </row>
    <row r="120" spans="1:18" ht="18.75" customHeight="1">
      <c r="A120" s="378"/>
      <c r="B120" s="378"/>
      <c r="C120" s="447"/>
      <c r="D120" s="379"/>
      <c r="E120" s="76">
        <f>E138+E131</f>
        <v>49435</v>
      </c>
      <c r="F120" s="76">
        <f>F138+F131</f>
        <v>58907.8</v>
      </c>
      <c r="G120" s="443"/>
      <c r="H120" s="352"/>
      <c r="I120" s="111"/>
      <c r="J120" s="123"/>
      <c r="K120" s="111"/>
      <c r="L120" s="111"/>
      <c r="M120" s="111"/>
      <c r="N120" s="111"/>
      <c r="O120" s="111"/>
      <c r="P120" s="111"/>
      <c r="Q120" s="111"/>
      <c r="R120" s="132">
        <f>R135+R141</f>
        <v>58907800</v>
      </c>
    </row>
    <row r="121" spans="1:18" ht="15.4" customHeight="1">
      <c r="A121" s="378"/>
      <c r="B121" s="413"/>
      <c r="C121" s="417"/>
      <c r="D121" s="300" t="s">
        <v>160</v>
      </c>
      <c r="E121" s="304">
        <v>41425</v>
      </c>
      <c r="F121" s="304">
        <f>R134/1000</f>
        <v>40352.199999999997</v>
      </c>
      <c r="G121" s="441">
        <f>F121+F131-E121-E131</f>
        <v>8400</v>
      </c>
      <c r="H121" s="346">
        <f>G121/E121:E135</f>
        <v>0.20277610138805069</v>
      </c>
      <c r="I121" s="107" t="s">
        <v>161</v>
      </c>
      <c r="J121" s="156"/>
      <c r="K121" s="157"/>
      <c r="L121" s="157">
        <v>2000</v>
      </c>
      <c r="M121" s="156" t="s">
        <v>217</v>
      </c>
      <c r="N121" s="156" t="s">
        <v>218</v>
      </c>
      <c r="O121" s="156" t="s">
        <v>219</v>
      </c>
      <c r="P121" s="156" t="s">
        <v>220</v>
      </c>
      <c r="Q121" s="158" t="s">
        <v>129</v>
      </c>
      <c r="R121" s="101">
        <f>48000000-R122</f>
        <v>40352200</v>
      </c>
    </row>
    <row r="122" spans="1:18" ht="15.4" customHeight="1">
      <c r="A122" s="378"/>
      <c r="B122" s="413"/>
      <c r="C122" s="407"/>
      <c r="D122" s="394"/>
      <c r="E122" s="302"/>
      <c r="F122" s="302"/>
      <c r="G122" s="445"/>
      <c r="H122" s="412"/>
      <c r="I122" s="107"/>
      <c r="J122" s="222"/>
      <c r="K122" s="159"/>
      <c r="L122" s="307"/>
      <c r="M122" s="307"/>
      <c r="N122" s="222"/>
      <c r="O122" s="159"/>
      <c r="P122" s="222"/>
      <c r="Q122" s="158"/>
      <c r="R122" s="106">
        <f>4672800+2975000</f>
        <v>7647800</v>
      </c>
    </row>
    <row r="123" spans="1:18" ht="15.4" customHeight="1">
      <c r="A123" s="378"/>
      <c r="B123" s="413"/>
      <c r="C123" s="407"/>
      <c r="D123" s="394"/>
      <c r="E123" s="302"/>
      <c r="F123" s="302"/>
      <c r="G123" s="445"/>
      <c r="H123" s="412"/>
      <c r="I123" s="107"/>
      <c r="J123" s="222"/>
      <c r="K123" s="159"/>
      <c r="L123" s="307"/>
      <c r="M123" s="307"/>
      <c r="N123" s="222"/>
      <c r="O123" s="159"/>
      <c r="P123" s="222"/>
      <c r="Q123" s="158"/>
      <c r="R123" s="101"/>
    </row>
    <row r="124" spans="1:18" ht="15.4" customHeight="1">
      <c r="A124" s="378"/>
      <c r="B124" s="413"/>
      <c r="C124" s="407"/>
      <c r="D124" s="394"/>
      <c r="E124" s="302"/>
      <c r="F124" s="302"/>
      <c r="G124" s="445"/>
      <c r="H124" s="412"/>
      <c r="I124" s="107" t="s">
        <v>163</v>
      </c>
      <c r="J124" s="223"/>
      <c r="K124" s="4"/>
      <c r="L124" s="306">
        <v>35000</v>
      </c>
      <c r="M124" s="306"/>
      <c r="N124" s="221" t="s">
        <v>135</v>
      </c>
      <c r="O124" s="159">
        <v>500</v>
      </c>
      <c r="P124" s="221" t="s">
        <v>162</v>
      </c>
      <c r="Q124" s="160" t="s">
        <v>129</v>
      </c>
      <c r="R124" s="106">
        <f>L124*O124-R125</f>
        <v>17500000</v>
      </c>
    </row>
    <row r="125" spans="1:18" ht="15.4" customHeight="1">
      <c r="A125" s="378"/>
      <c r="B125" s="413"/>
      <c r="C125" s="407"/>
      <c r="D125" s="394"/>
      <c r="E125" s="302"/>
      <c r="F125" s="302"/>
      <c r="G125" s="445"/>
      <c r="H125" s="412"/>
      <c r="I125" s="107"/>
      <c r="J125" s="223"/>
      <c r="K125" s="4"/>
      <c r="L125" s="221"/>
      <c r="M125" s="221"/>
      <c r="N125" s="221"/>
      <c r="O125" s="159"/>
      <c r="P125" s="221"/>
      <c r="Q125" s="160"/>
      <c r="R125" s="161">
        <v>0</v>
      </c>
    </row>
    <row r="126" spans="1:18" ht="15.4" customHeight="1">
      <c r="A126" s="378"/>
      <c r="B126" s="413"/>
      <c r="C126" s="407"/>
      <c r="D126" s="394"/>
      <c r="E126" s="302"/>
      <c r="F126" s="302"/>
      <c r="G126" s="445"/>
      <c r="H126" s="412"/>
      <c r="I126" s="107"/>
      <c r="J126" s="223"/>
      <c r="K126" s="4"/>
      <c r="L126" s="306"/>
      <c r="M126" s="306"/>
      <c r="N126" s="221"/>
      <c r="O126" s="159"/>
      <c r="P126" s="221"/>
      <c r="Q126" s="160"/>
      <c r="R126" s="106"/>
    </row>
    <row r="127" spans="1:18" ht="15.4" customHeight="1">
      <c r="A127" s="378"/>
      <c r="B127" s="413"/>
      <c r="C127" s="407"/>
      <c r="D127" s="394"/>
      <c r="E127" s="302"/>
      <c r="F127" s="302"/>
      <c r="G127" s="445"/>
      <c r="H127" s="412"/>
      <c r="I127" s="107"/>
      <c r="J127" s="223"/>
      <c r="K127" s="4"/>
      <c r="L127" s="306"/>
      <c r="M127" s="306"/>
      <c r="N127" s="221"/>
      <c r="O127" s="159"/>
      <c r="P127" s="221"/>
      <c r="Q127" s="160"/>
      <c r="R127" s="106"/>
    </row>
    <row r="128" spans="1:18" ht="15.4" customHeight="1">
      <c r="A128" s="378"/>
      <c r="B128" s="413"/>
      <c r="C128" s="407"/>
      <c r="D128" s="394"/>
      <c r="E128" s="302"/>
      <c r="F128" s="302"/>
      <c r="G128" s="445"/>
      <c r="H128" s="412"/>
      <c r="I128" s="107" t="s">
        <v>164</v>
      </c>
      <c r="J128" s="107" t="s">
        <v>246</v>
      </c>
      <c r="K128" s="4"/>
      <c r="L128" s="306">
        <v>45000</v>
      </c>
      <c r="M128" s="306"/>
      <c r="N128" s="221" t="s">
        <v>135</v>
      </c>
      <c r="O128" s="159">
        <v>250</v>
      </c>
      <c r="P128" s="221" t="s">
        <v>162</v>
      </c>
      <c r="Q128" s="160" t="s">
        <v>129</v>
      </c>
      <c r="R128" s="106">
        <f t="shared" ref="R128:R132" si="8">L128*O128</f>
        <v>11250000</v>
      </c>
    </row>
    <row r="129" spans="1:18" ht="15.4" customHeight="1">
      <c r="A129" s="378"/>
      <c r="B129" s="413"/>
      <c r="C129" s="402"/>
      <c r="D129" s="394"/>
      <c r="E129" s="302"/>
      <c r="F129" s="302"/>
      <c r="G129" s="445"/>
      <c r="H129" s="412"/>
      <c r="I129" s="107"/>
      <c r="J129" s="107" t="s">
        <v>247</v>
      </c>
      <c r="K129" s="4"/>
      <c r="L129" s="306">
        <v>30000</v>
      </c>
      <c r="M129" s="306"/>
      <c r="N129" s="221" t="s">
        <v>135</v>
      </c>
      <c r="O129" s="159">
        <v>250</v>
      </c>
      <c r="P129" s="221" t="s">
        <v>162</v>
      </c>
      <c r="Q129" s="160" t="s">
        <v>129</v>
      </c>
      <c r="R129" s="106">
        <f t="shared" si="8"/>
        <v>7500000</v>
      </c>
    </row>
    <row r="130" spans="1:18" ht="15.4" customHeight="1">
      <c r="A130" s="378"/>
      <c r="B130" s="413"/>
      <c r="C130" s="402"/>
      <c r="D130" s="394"/>
      <c r="E130" s="218"/>
      <c r="F130" s="218"/>
      <c r="G130" s="445"/>
      <c r="H130" s="412"/>
      <c r="I130" s="107" t="s">
        <v>248</v>
      </c>
      <c r="J130" s="223"/>
      <c r="K130" s="4"/>
      <c r="L130" s="306">
        <v>25000</v>
      </c>
      <c r="M130" s="306"/>
      <c r="N130" s="221" t="s">
        <v>135</v>
      </c>
      <c r="O130" s="159">
        <v>180</v>
      </c>
      <c r="P130" s="221" t="s">
        <v>162</v>
      </c>
      <c r="Q130" s="160" t="s">
        <v>129</v>
      </c>
      <c r="R130" s="106">
        <f t="shared" si="8"/>
        <v>4500000</v>
      </c>
    </row>
    <row r="131" spans="1:18" ht="15.4" customHeight="1">
      <c r="A131" s="378"/>
      <c r="B131" s="413"/>
      <c r="C131" s="402"/>
      <c r="D131" s="394"/>
      <c r="E131" s="304">
        <v>39435</v>
      </c>
      <c r="F131" s="304">
        <f>R135/1000</f>
        <v>48907.8</v>
      </c>
      <c r="G131" s="445"/>
      <c r="H131" s="412"/>
      <c r="I131" s="107" t="s">
        <v>165</v>
      </c>
      <c r="J131" s="4"/>
      <c r="K131" s="4"/>
      <c r="L131" s="306">
        <v>70000</v>
      </c>
      <c r="M131" s="306"/>
      <c r="N131" s="223" t="s">
        <v>135</v>
      </c>
      <c r="O131" s="4">
        <v>1</v>
      </c>
      <c r="P131" s="223" t="s">
        <v>149</v>
      </c>
      <c r="Q131" s="162" t="s">
        <v>136</v>
      </c>
      <c r="R131" s="106">
        <f t="shared" si="8"/>
        <v>70000</v>
      </c>
    </row>
    <row r="132" spans="1:18" ht="15.4" customHeight="1">
      <c r="A132" s="378"/>
      <c r="B132" s="413"/>
      <c r="C132" s="402"/>
      <c r="D132" s="394"/>
      <c r="E132" s="302"/>
      <c r="F132" s="302"/>
      <c r="G132" s="445"/>
      <c r="H132" s="412"/>
      <c r="I132" s="107" t="s">
        <v>166</v>
      </c>
      <c r="J132" s="4"/>
      <c r="K132" s="4"/>
      <c r="L132" s="306">
        <v>2000</v>
      </c>
      <c r="M132" s="306"/>
      <c r="N132" s="223" t="s">
        <v>135</v>
      </c>
      <c r="O132" s="4">
        <v>20</v>
      </c>
      <c r="P132" s="223" t="s">
        <v>167</v>
      </c>
      <c r="Q132" s="162" t="s">
        <v>136</v>
      </c>
      <c r="R132" s="106">
        <f t="shared" si="8"/>
        <v>40000</v>
      </c>
    </row>
    <row r="133" spans="1:18" ht="15.4" customHeight="1">
      <c r="A133" s="378"/>
      <c r="B133" s="107"/>
      <c r="C133" s="402"/>
      <c r="D133" s="394"/>
      <c r="E133" s="302"/>
      <c r="F133" s="302"/>
      <c r="G133" s="445"/>
      <c r="H133" s="412"/>
      <c r="I133" s="107" t="s">
        <v>194</v>
      </c>
      <c r="J133" s="4"/>
      <c r="K133" s="4"/>
      <c r="L133" s="306">
        <v>20000</v>
      </c>
      <c r="M133" s="306"/>
      <c r="N133" s="223" t="s">
        <v>12</v>
      </c>
      <c r="O133" s="4">
        <v>20</v>
      </c>
      <c r="P133" s="223" t="s">
        <v>55</v>
      </c>
      <c r="Q133" s="162" t="s">
        <v>4</v>
      </c>
      <c r="R133" s="106">
        <f t="shared" ref="R133" si="9">L133*O133</f>
        <v>400000</v>
      </c>
    </row>
    <row r="134" spans="1:18" ht="15.4" customHeight="1">
      <c r="A134" s="395"/>
      <c r="B134" s="107"/>
      <c r="C134" s="384"/>
      <c r="D134" s="394"/>
      <c r="E134" s="302"/>
      <c r="F134" s="302"/>
      <c r="G134" s="445"/>
      <c r="H134" s="412"/>
      <c r="I134" s="107"/>
      <c r="J134" s="131"/>
      <c r="K134" s="107"/>
      <c r="L134" s="162"/>
      <c r="M134" s="162"/>
      <c r="N134" s="162"/>
      <c r="O134" s="162"/>
      <c r="P134" s="163"/>
      <c r="Q134" s="164" t="s">
        <v>153</v>
      </c>
      <c r="R134" s="165">
        <f>R121</f>
        <v>40352200</v>
      </c>
    </row>
    <row r="135" spans="1:18" s="63" customFormat="1" ht="15.4" customHeight="1">
      <c r="A135" s="395"/>
      <c r="B135" s="395"/>
      <c r="C135" s="395"/>
      <c r="D135" s="301"/>
      <c r="E135" s="303"/>
      <c r="F135" s="303"/>
      <c r="G135" s="443"/>
      <c r="H135" s="352"/>
      <c r="I135" s="111"/>
      <c r="J135" s="166"/>
      <c r="K135" s="111"/>
      <c r="L135" s="167"/>
      <c r="M135" s="167"/>
      <c r="N135" s="167"/>
      <c r="O135" s="167"/>
      <c r="P135" s="168"/>
      <c r="Q135" s="169"/>
      <c r="R135" s="170">
        <f>SUM(R124:R133)-R125+R122</f>
        <v>48907800</v>
      </c>
    </row>
    <row r="136" spans="1:18" s="63" customFormat="1" ht="15.4" customHeight="1">
      <c r="A136" s="395"/>
      <c r="B136" s="395"/>
      <c r="C136" s="395"/>
      <c r="D136" s="300" t="s">
        <v>168</v>
      </c>
      <c r="E136" s="304">
        <v>15000</v>
      </c>
      <c r="F136" s="304">
        <f>R140/1000</f>
        <v>15000</v>
      </c>
      <c r="G136" s="441">
        <f>F136+F138-E136-E138</f>
        <v>0</v>
      </c>
      <c r="H136" s="346">
        <f>G136/E136</f>
        <v>0</v>
      </c>
      <c r="I136" s="130"/>
      <c r="J136" s="4"/>
      <c r="K136" s="4"/>
      <c r="L136" s="305"/>
      <c r="M136" s="305"/>
      <c r="N136" s="4"/>
      <c r="O136" s="4"/>
      <c r="P136" s="4"/>
      <c r="Q136" s="107"/>
      <c r="R136" s="171"/>
    </row>
    <row r="137" spans="1:18" s="63" customFormat="1" ht="15.4" customHeight="1">
      <c r="A137" s="378"/>
      <c r="B137" s="413"/>
      <c r="C137" s="413"/>
      <c r="D137" s="394"/>
      <c r="E137" s="302"/>
      <c r="F137" s="302"/>
      <c r="G137" s="445"/>
      <c r="H137" s="412"/>
      <c r="I137" s="130" t="s">
        <v>249</v>
      </c>
      <c r="J137" s="4"/>
      <c r="K137" s="4"/>
      <c r="L137" s="305">
        <v>300000</v>
      </c>
      <c r="M137" s="305"/>
      <c r="N137" s="4" t="s">
        <v>135</v>
      </c>
      <c r="O137" s="4">
        <v>50</v>
      </c>
      <c r="P137" s="4" t="s">
        <v>162</v>
      </c>
      <c r="Q137" s="107" t="s">
        <v>129</v>
      </c>
      <c r="R137" s="171">
        <f>L137*O137</f>
        <v>15000000</v>
      </c>
    </row>
    <row r="138" spans="1:18" s="63" customFormat="1" ht="15.4" customHeight="1">
      <c r="A138" s="378"/>
      <c r="B138" s="378"/>
      <c r="C138" s="413"/>
      <c r="D138" s="394"/>
      <c r="E138" s="304">
        <v>10000</v>
      </c>
      <c r="F138" s="304">
        <f>R141/1000</f>
        <v>10000</v>
      </c>
      <c r="G138" s="445"/>
      <c r="H138" s="412"/>
      <c r="I138" s="130" t="s">
        <v>170</v>
      </c>
      <c r="J138" s="4"/>
      <c r="K138" s="4"/>
      <c r="L138" s="306">
        <v>200000</v>
      </c>
      <c r="M138" s="306"/>
      <c r="N138" s="4" t="s">
        <v>171</v>
      </c>
      <c r="O138" s="4">
        <v>50</v>
      </c>
      <c r="P138" s="4" t="s">
        <v>172</v>
      </c>
      <c r="Q138" s="107" t="s">
        <v>173</v>
      </c>
      <c r="R138" s="106">
        <f>L138*O138</f>
        <v>10000000</v>
      </c>
    </row>
    <row r="139" spans="1:18" s="63" customFormat="1" ht="11.25" customHeight="1">
      <c r="A139" s="378"/>
      <c r="B139" s="378"/>
      <c r="C139" s="413"/>
      <c r="D139" s="394"/>
      <c r="E139" s="302"/>
      <c r="F139" s="302"/>
      <c r="G139" s="445"/>
      <c r="H139" s="412"/>
      <c r="I139" s="130"/>
      <c r="J139" s="4"/>
      <c r="K139" s="4"/>
      <c r="L139" s="221"/>
      <c r="M139" s="221"/>
      <c r="N139" s="4"/>
      <c r="O139" s="4"/>
      <c r="P139" s="4"/>
      <c r="Q139" s="107"/>
      <c r="R139" s="106"/>
    </row>
    <row r="140" spans="1:18" s="63" customFormat="1" ht="9" customHeight="1">
      <c r="A140" s="378"/>
      <c r="B140" s="378"/>
      <c r="C140" s="413"/>
      <c r="D140" s="394"/>
      <c r="E140" s="302"/>
      <c r="F140" s="302"/>
      <c r="G140" s="445"/>
      <c r="H140" s="412"/>
      <c r="I140" s="130"/>
      <c r="J140" s="223"/>
      <c r="K140" s="223"/>
      <c r="L140" s="306"/>
      <c r="M140" s="306"/>
      <c r="N140" s="4"/>
      <c r="O140" s="4"/>
      <c r="P140" s="4"/>
      <c r="Q140" s="172" t="s">
        <v>174</v>
      </c>
      <c r="R140" s="173">
        <f>SUM(R136:R137)</f>
        <v>15000000</v>
      </c>
    </row>
    <row r="141" spans="1:18" s="63" customFormat="1" ht="17.25" customHeight="1">
      <c r="A141" s="387"/>
      <c r="B141" s="387"/>
      <c r="C141" s="448"/>
      <c r="D141" s="301"/>
      <c r="E141" s="303"/>
      <c r="F141" s="303"/>
      <c r="G141" s="443"/>
      <c r="H141" s="352"/>
      <c r="I141" s="174"/>
      <c r="J141" s="224"/>
      <c r="K141" s="224"/>
      <c r="L141" s="224"/>
      <c r="M141" s="224"/>
      <c r="N141" s="123"/>
      <c r="O141" s="123"/>
      <c r="P141" s="123"/>
      <c r="Q141" s="175"/>
      <c r="R141" s="170">
        <f>SUM(R138)</f>
        <v>10000000</v>
      </c>
    </row>
    <row r="142" spans="1:18" ht="16.5" customHeight="1">
      <c r="A142" s="68" t="s">
        <v>77</v>
      </c>
      <c r="B142" s="68"/>
      <c r="C142" s="364" t="s">
        <v>78</v>
      </c>
      <c r="D142" s="364"/>
      <c r="E142" s="80"/>
      <c r="F142" s="80"/>
      <c r="G142" s="365"/>
      <c r="H142" s="366"/>
      <c r="I142" s="367"/>
      <c r="J142" s="367"/>
      <c r="K142" s="367"/>
      <c r="L142" s="367"/>
      <c r="M142" s="367"/>
      <c r="N142" s="367"/>
      <c r="O142" s="367"/>
      <c r="P142" s="367"/>
      <c r="Q142" s="367"/>
      <c r="R142" s="69" t="s">
        <v>0</v>
      </c>
    </row>
    <row r="143" spans="1:18" s="63" customFormat="1" ht="19.5" customHeight="1">
      <c r="A143" s="315" t="s">
        <v>79</v>
      </c>
      <c r="B143" s="315" t="s">
        <v>80</v>
      </c>
      <c r="C143" s="315" t="s">
        <v>81</v>
      </c>
      <c r="D143" s="315" t="s">
        <v>1</v>
      </c>
      <c r="E143" s="70" t="s">
        <v>229</v>
      </c>
      <c r="F143" s="70" t="s">
        <v>231</v>
      </c>
      <c r="G143" s="317" t="s">
        <v>82</v>
      </c>
      <c r="H143" s="318"/>
      <c r="I143" s="319" t="s">
        <v>83</v>
      </c>
      <c r="J143" s="320"/>
      <c r="K143" s="320"/>
      <c r="L143" s="320"/>
      <c r="M143" s="320"/>
      <c r="N143" s="320"/>
      <c r="O143" s="320"/>
      <c r="P143" s="320"/>
      <c r="Q143" s="320"/>
      <c r="R143" s="321"/>
    </row>
    <row r="144" spans="1:18" s="63" customFormat="1" ht="19.5" customHeight="1">
      <c r="A144" s="322"/>
      <c r="B144" s="322"/>
      <c r="C144" s="322"/>
      <c r="D144" s="322"/>
      <c r="E144" s="70" t="s">
        <v>230</v>
      </c>
      <c r="F144" s="70" t="s">
        <v>232</v>
      </c>
      <c r="G144" s="118" t="s">
        <v>2</v>
      </c>
      <c r="H144" s="324" t="s">
        <v>84</v>
      </c>
      <c r="I144" s="325"/>
      <c r="J144" s="326"/>
      <c r="K144" s="326"/>
      <c r="L144" s="326"/>
      <c r="M144" s="326"/>
      <c r="N144" s="326"/>
      <c r="O144" s="326"/>
      <c r="P144" s="326"/>
      <c r="Q144" s="326"/>
      <c r="R144" s="327"/>
    </row>
    <row r="145" spans="1:18" s="63" customFormat="1" ht="22.5" customHeight="1">
      <c r="A145" s="431"/>
      <c r="B145" s="378"/>
      <c r="C145" s="300" t="s">
        <v>10</v>
      </c>
      <c r="D145" s="449"/>
      <c r="E145" s="81">
        <f>E147+E162+E179</f>
        <v>17569</v>
      </c>
      <c r="F145" s="81">
        <f>F147+F162+F179</f>
        <v>12552.8</v>
      </c>
      <c r="G145" s="360">
        <f>F145+F146-E145-E146</f>
        <v>-289.20000000000073</v>
      </c>
      <c r="H145" s="450">
        <f>G145/E145:E146</f>
        <v>-1.646081165689571E-2</v>
      </c>
      <c r="I145" s="451"/>
      <c r="J145" s="452"/>
      <c r="K145" s="452"/>
      <c r="L145" s="452"/>
      <c r="M145" s="452"/>
      <c r="N145" s="452"/>
      <c r="O145" s="452"/>
      <c r="P145" s="452"/>
      <c r="Q145" s="452"/>
      <c r="R145" s="453">
        <f>R160+R174+R194</f>
        <v>12552800</v>
      </c>
    </row>
    <row r="146" spans="1:18" s="63" customFormat="1" ht="24" customHeight="1">
      <c r="A146" s="378"/>
      <c r="B146" s="378"/>
      <c r="C146" s="301"/>
      <c r="D146" s="454"/>
      <c r="E146" s="81">
        <f>E153+E165+E188</f>
        <v>1085</v>
      </c>
      <c r="F146" s="81">
        <f>F153+F165+F188</f>
        <v>5812</v>
      </c>
      <c r="G146" s="373"/>
      <c r="H146" s="455"/>
      <c r="I146" s="456"/>
      <c r="J146" s="202"/>
      <c r="K146" s="202"/>
      <c r="L146" s="202"/>
      <c r="M146" s="202"/>
      <c r="N146" s="202"/>
      <c r="O146" s="202"/>
      <c r="P146" s="202"/>
      <c r="Q146" s="202"/>
      <c r="R146" s="124">
        <f>R161+R175+R195</f>
        <v>5812000</v>
      </c>
    </row>
    <row r="147" spans="1:18" s="63" customFormat="1" ht="18" customHeight="1">
      <c r="A147" s="378"/>
      <c r="B147" s="378"/>
      <c r="C147" s="431"/>
      <c r="D147" s="457" t="s">
        <v>209</v>
      </c>
      <c r="E147" s="304">
        <v>8358</v>
      </c>
      <c r="F147" s="304">
        <f>R160/1000</f>
        <v>4617.6000000000004</v>
      </c>
      <c r="G147" s="441">
        <f>F147+F153-E147-E153</f>
        <v>-0.3999999999996362</v>
      </c>
      <c r="H147" s="450">
        <f>G147/E147</f>
        <v>-4.7858339315582218E-5</v>
      </c>
      <c r="I147" s="204"/>
      <c r="J147" s="133"/>
      <c r="K147" s="133"/>
      <c r="L147" s="314"/>
      <c r="M147" s="314"/>
      <c r="N147" s="133"/>
      <c r="O147" s="216"/>
      <c r="P147" s="216"/>
      <c r="Q147" s="125"/>
      <c r="R147" s="205"/>
    </row>
    <row r="148" spans="1:18" s="63" customFormat="1" ht="15.4" customHeight="1">
      <c r="A148" s="378"/>
      <c r="B148" s="378"/>
      <c r="C148" s="378"/>
      <c r="D148" s="458"/>
      <c r="E148" s="302"/>
      <c r="F148" s="302"/>
      <c r="G148" s="445"/>
      <c r="H148" s="459"/>
      <c r="I148" s="130" t="s">
        <v>191</v>
      </c>
      <c r="J148" s="4"/>
      <c r="K148" s="4"/>
      <c r="L148" s="223"/>
      <c r="M148" s="223"/>
      <c r="N148" s="4"/>
      <c r="O148" s="223"/>
      <c r="P148" s="223"/>
      <c r="Q148" s="107"/>
      <c r="R148" s="171"/>
    </row>
    <row r="149" spans="1:18" s="63" customFormat="1" ht="15.4" customHeight="1">
      <c r="A149" s="378"/>
      <c r="B149" s="378"/>
      <c r="C149" s="378"/>
      <c r="D149" s="458"/>
      <c r="E149" s="302"/>
      <c r="F149" s="302"/>
      <c r="G149" s="445"/>
      <c r="H149" s="459"/>
      <c r="I149" s="130" t="s">
        <v>193</v>
      </c>
      <c r="J149" s="206">
        <v>1870000</v>
      </c>
      <c r="K149" s="222" t="s">
        <v>189</v>
      </c>
      <c r="L149" s="207">
        <v>2</v>
      </c>
      <c r="M149" s="222" t="s">
        <v>196</v>
      </c>
      <c r="N149" s="222"/>
      <c r="O149" s="207"/>
      <c r="P149" s="222"/>
      <c r="Q149" s="199" t="s">
        <v>179</v>
      </c>
      <c r="R149" s="106">
        <f>J149*L149</f>
        <v>3740000</v>
      </c>
    </row>
    <row r="150" spans="1:18" s="63" customFormat="1" ht="15.4" customHeight="1">
      <c r="A150" s="378"/>
      <c r="B150" s="378"/>
      <c r="C150" s="378"/>
      <c r="D150" s="458"/>
      <c r="E150" s="302"/>
      <c r="F150" s="302"/>
      <c r="G150" s="445"/>
      <c r="H150" s="459"/>
      <c r="I150" s="130" t="s">
        <v>197</v>
      </c>
      <c r="J150" s="196">
        <v>687</v>
      </c>
      <c r="K150" s="223" t="s">
        <v>176</v>
      </c>
      <c r="L150" s="196">
        <v>400</v>
      </c>
      <c r="M150" s="223" t="s">
        <v>190</v>
      </c>
      <c r="N150" s="223" t="s">
        <v>176</v>
      </c>
      <c r="O150" s="208">
        <v>12</v>
      </c>
      <c r="P150" s="223" t="s">
        <v>178</v>
      </c>
      <c r="Q150" s="107" t="s">
        <v>179</v>
      </c>
      <c r="R150" s="171">
        <f>J150*L150*O150</f>
        <v>3297600</v>
      </c>
    </row>
    <row r="151" spans="1:18" s="63" customFormat="1" ht="15.4" customHeight="1">
      <c r="A151" s="378"/>
      <c r="B151" s="378"/>
      <c r="C151" s="378"/>
      <c r="D151" s="458"/>
      <c r="E151" s="302"/>
      <c r="F151" s="302"/>
      <c r="G151" s="445"/>
      <c r="H151" s="459"/>
      <c r="I151" s="130" t="s">
        <v>222</v>
      </c>
      <c r="J151" s="196">
        <v>220</v>
      </c>
      <c r="K151" s="222" t="s">
        <v>12</v>
      </c>
      <c r="L151" s="196">
        <v>400</v>
      </c>
      <c r="M151" s="222" t="s">
        <v>177</v>
      </c>
      <c r="N151" s="222" t="s">
        <v>12</v>
      </c>
      <c r="O151" s="208">
        <v>12</v>
      </c>
      <c r="P151" s="222" t="s">
        <v>54</v>
      </c>
      <c r="Q151" s="199" t="s">
        <v>4</v>
      </c>
      <c r="R151" s="101">
        <f>J151*L151*O151</f>
        <v>1056000</v>
      </c>
    </row>
    <row r="152" spans="1:18" s="63" customFormat="1" ht="15.4" customHeight="1">
      <c r="A152" s="378"/>
      <c r="B152" s="378"/>
      <c r="C152" s="378"/>
      <c r="D152" s="458"/>
      <c r="E152" s="303"/>
      <c r="F152" s="303"/>
      <c r="G152" s="445"/>
      <c r="H152" s="459"/>
      <c r="I152" s="130" t="s">
        <v>221</v>
      </c>
      <c r="J152" s="196">
        <v>55</v>
      </c>
      <c r="K152" s="222" t="s">
        <v>12</v>
      </c>
      <c r="L152" s="196">
        <v>400</v>
      </c>
      <c r="M152" s="222" t="s">
        <v>177</v>
      </c>
      <c r="N152" s="222" t="s">
        <v>12</v>
      </c>
      <c r="O152" s="208">
        <v>12</v>
      </c>
      <c r="P152" s="222" t="s">
        <v>54</v>
      </c>
      <c r="Q152" s="199" t="s">
        <v>4</v>
      </c>
      <c r="R152" s="101">
        <f>J152*L152*O152</f>
        <v>264000</v>
      </c>
    </row>
    <row r="153" spans="1:18" s="63" customFormat="1" ht="15.4" customHeight="1">
      <c r="A153" s="378"/>
      <c r="B153" s="378"/>
      <c r="C153" s="378"/>
      <c r="D153" s="458"/>
      <c r="E153" s="304">
        <v>0</v>
      </c>
      <c r="F153" s="304">
        <f>R161/1000</f>
        <v>3740</v>
      </c>
      <c r="G153" s="445"/>
      <c r="H153" s="459"/>
      <c r="I153" s="130"/>
      <c r="J153" s="196"/>
      <c r="K153" s="222"/>
      <c r="L153" s="196"/>
      <c r="M153" s="222"/>
      <c r="N153" s="222"/>
      <c r="O153" s="208"/>
      <c r="P153" s="222"/>
      <c r="Q153" s="199"/>
      <c r="R153" s="101"/>
    </row>
    <row r="154" spans="1:18" s="63" customFormat="1" ht="15.4" customHeight="1">
      <c r="A154" s="378"/>
      <c r="B154" s="378"/>
      <c r="C154" s="378"/>
      <c r="D154" s="458"/>
      <c r="E154" s="302"/>
      <c r="F154" s="302"/>
      <c r="G154" s="445"/>
      <c r="H154" s="459"/>
      <c r="I154" s="209"/>
      <c r="J154" s="210"/>
      <c r="K154" s="210"/>
      <c r="L154" s="210"/>
      <c r="M154" s="210"/>
      <c r="N154" s="210"/>
      <c r="O154" s="210"/>
      <c r="P154" s="210"/>
      <c r="Q154" s="210"/>
      <c r="R154" s="187"/>
    </row>
    <row r="155" spans="1:18" s="63" customFormat="1" ht="15.4" customHeight="1">
      <c r="A155" s="378"/>
      <c r="B155" s="378"/>
      <c r="C155" s="378"/>
      <c r="D155" s="458"/>
      <c r="E155" s="302"/>
      <c r="F155" s="302"/>
      <c r="G155" s="445"/>
      <c r="H155" s="459"/>
      <c r="I155" s="209"/>
      <c r="J155" s="210"/>
      <c r="K155" s="210"/>
      <c r="L155" s="210"/>
      <c r="M155" s="210"/>
      <c r="N155" s="210"/>
      <c r="O155" s="210"/>
      <c r="P155" s="210"/>
      <c r="Q155" s="210"/>
      <c r="R155" s="187"/>
    </row>
    <row r="156" spans="1:18" s="63" customFormat="1" ht="15.4" customHeight="1">
      <c r="A156" s="378"/>
      <c r="B156" s="378"/>
      <c r="C156" s="378"/>
      <c r="D156" s="458"/>
      <c r="E156" s="302"/>
      <c r="F156" s="302"/>
      <c r="G156" s="445"/>
      <c r="H156" s="459"/>
      <c r="I156" s="130"/>
      <c r="J156" s="159"/>
      <c r="K156" s="222"/>
      <c r="L156" s="159"/>
      <c r="M156" s="222"/>
      <c r="N156" s="222"/>
      <c r="O156" s="222"/>
      <c r="P156" s="222"/>
      <c r="Q156" s="199"/>
      <c r="R156" s="101"/>
    </row>
    <row r="157" spans="1:18" s="63" customFormat="1" ht="15.4" customHeight="1">
      <c r="A157" s="378"/>
      <c r="B157" s="378"/>
      <c r="C157" s="378"/>
      <c r="D157" s="458"/>
      <c r="E157" s="302"/>
      <c r="F157" s="302"/>
      <c r="G157" s="445"/>
      <c r="H157" s="459"/>
      <c r="I157" s="130"/>
      <c r="J157" s="159"/>
      <c r="K157" s="222"/>
      <c r="L157" s="211"/>
      <c r="M157" s="222"/>
      <c r="N157" s="222"/>
      <c r="O157" s="222"/>
      <c r="P157" s="222"/>
      <c r="Q157" s="199"/>
      <c r="R157" s="106"/>
    </row>
    <row r="158" spans="1:18" s="63" customFormat="1" ht="15.4" customHeight="1">
      <c r="A158" s="378"/>
      <c r="B158" s="378"/>
      <c r="C158" s="378"/>
      <c r="D158" s="458"/>
      <c r="E158" s="302"/>
      <c r="F158" s="302"/>
      <c r="G158" s="445"/>
      <c r="H158" s="459"/>
      <c r="I158" s="130"/>
      <c r="J158" s="211"/>
      <c r="K158" s="222"/>
      <c r="L158" s="208"/>
      <c r="M158" s="222"/>
      <c r="N158" s="222"/>
      <c r="O158" s="222"/>
      <c r="P158" s="222"/>
      <c r="Q158" s="199"/>
      <c r="R158" s="106"/>
    </row>
    <row r="159" spans="1:18" s="63" customFormat="1" ht="15.4" customHeight="1">
      <c r="A159" s="378"/>
      <c r="B159" s="378"/>
      <c r="C159" s="378"/>
      <c r="D159" s="458"/>
      <c r="E159" s="302"/>
      <c r="F159" s="302"/>
      <c r="G159" s="445"/>
      <c r="H159" s="459"/>
      <c r="I159" s="130"/>
      <c r="J159" s="212"/>
      <c r="K159" s="181"/>
      <c r="L159" s="213"/>
      <c r="M159" s="181"/>
      <c r="N159" s="181"/>
      <c r="O159" s="222"/>
      <c r="P159" s="181"/>
      <c r="Q159" s="199"/>
      <c r="R159" s="106"/>
    </row>
    <row r="160" spans="1:18" s="63" customFormat="1" ht="15.4" customHeight="1">
      <c r="A160" s="378"/>
      <c r="B160" s="378"/>
      <c r="C160" s="378"/>
      <c r="D160" s="458"/>
      <c r="E160" s="302"/>
      <c r="F160" s="302"/>
      <c r="G160" s="445"/>
      <c r="H160" s="459"/>
      <c r="I160" s="130"/>
      <c r="J160" s="4"/>
      <c r="K160" s="4"/>
      <c r="L160" s="4"/>
      <c r="M160" s="4"/>
      <c r="N160" s="4"/>
      <c r="O160" s="4"/>
      <c r="P160" s="4"/>
      <c r="Q160" s="162" t="s">
        <v>180</v>
      </c>
      <c r="R160" s="201">
        <f>SUM(R147:R153)-R149</f>
        <v>4617600</v>
      </c>
    </row>
    <row r="161" spans="1:18" s="63" customFormat="1" ht="12.75" customHeight="1">
      <c r="A161" s="378"/>
      <c r="B161" s="378"/>
      <c r="C161" s="378"/>
      <c r="D161" s="460"/>
      <c r="E161" s="303"/>
      <c r="F161" s="303"/>
      <c r="G161" s="443"/>
      <c r="H161" s="455"/>
      <c r="I161" s="174"/>
      <c r="J161" s="224"/>
      <c r="K161" s="224"/>
      <c r="L161" s="224"/>
      <c r="M161" s="224"/>
      <c r="N161" s="123"/>
      <c r="O161" s="123"/>
      <c r="P161" s="123"/>
      <c r="Q161" s="202"/>
      <c r="R161" s="203">
        <f>R149+R157+R158+R159</f>
        <v>3740000</v>
      </c>
    </row>
    <row r="162" spans="1:18" s="63" customFormat="1" ht="18" customHeight="1">
      <c r="A162" s="378"/>
      <c r="B162" s="378"/>
      <c r="C162" s="378"/>
      <c r="D162" s="457" t="s">
        <v>175</v>
      </c>
      <c r="E162" s="304">
        <v>7411</v>
      </c>
      <c r="F162" s="304">
        <f>R174/1000</f>
        <v>7935.2</v>
      </c>
      <c r="G162" s="441">
        <f>F162+F165-E162-E165</f>
        <v>-0.8000000000001819</v>
      </c>
      <c r="H162" s="450">
        <f>G162/E162</f>
        <v>-1.0794764539200944E-4</v>
      </c>
      <c r="I162" s="130" t="s">
        <v>198</v>
      </c>
      <c r="J162" s="4"/>
      <c r="K162" s="4"/>
      <c r="L162" s="4"/>
      <c r="M162" s="4"/>
      <c r="N162" s="4"/>
      <c r="O162" s="223"/>
      <c r="P162" s="223"/>
      <c r="Q162" s="107"/>
      <c r="R162" s="171"/>
    </row>
    <row r="163" spans="1:18" s="63" customFormat="1" ht="15.4" customHeight="1">
      <c r="A163" s="378"/>
      <c r="B163" s="378"/>
      <c r="C163" s="378"/>
      <c r="D163" s="458"/>
      <c r="E163" s="302"/>
      <c r="F163" s="302"/>
      <c r="G163" s="445"/>
      <c r="H163" s="459"/>
      <c r="I163" s="130" t="s">
        <v>199</v>
      </c>
      <c r="J163" s="4">
        <v>5480</v>
      </c>
      <c r="K163" s="223" t="s">
        <v>12</v>
      </c>
      <c r="L163" s="196">
        <v>50</v>
      </c>
      <c r="M163" s="223" t="s">
        <v>177</v>
      </c>
      <c r="N163" s="4" t="s">
        <v>12</v>
      </c>
      <c r="O163" s="223">
        <v>9</v>
      </c>
      <c r="P163" s="223" t="s">
        <v>54</v>
      </c>
      <c r="Q163" s="107" t="s">
        <v>4</v>
      </c>
      <c r="R163" s="171">
        <f>J163*L163*O163</f>
        <v>2466000</v>
      </c>
    </row>
    <row r="164" spans="1:18" s="63" customFormat="1" ht="15.4" customHeight="1">
      <c r="A164" s="378"/>
      <c r="B164" s="378"/>
      <c r="C164" s="378"/>
      <c r="D164" s="458"/>
      <c r="E164" s="303"/>
      <c r="F164" s="303"/>
      <c r="G164" s="445"/>
      <c r="H164" s="459"/>
      <c r="I164" s="130" t="s">
        <v>201</v>
      </c>
      <c r="J164" s="159">
        <v>1870000</v>
      </c>
      <c r="K164" s="197" t="s">
        <v>12</v>
      </c>
      <c r="L164" s="196">
        <v>2</v>
      </c>
      <c r="M164" s="222" t="s">
        <v>196</v>
      </c>
      <c r="O164" s="198"/>
      <c r="P164" s="159"/>
      <c r="Q164" s="199" t="s">
        <v>4</v>
      </c>
      <c r="R164" s="101">
        <f>J164*L164</f>
        <v>3740000</v>
      </c>
    </row>
    <row r="165" spans="1:18" s="63" customFormat="1" ht="15.4" customHeight="1">
      <c r="A165" s="378"/>
      <c r="B165" s="378"/>
      <c r="C165" s="378"/>
      <c r="D165" s="458"/>
      <c r="E165" s="304">
        <v>705</v>
      </c>
      <c r="F165" s="304">
        <f>R175/1000</f>
        <v>180</v>
      </c>
      <c r="G165" s="445"/>
      <c r="H165" s="459"/>
      <c r="I165" s="130" t="s">
        <v>202</v>
      </c>
      <c r="J165" s="4">
        <v>330000</v>
      </c>
      <c r="K165" s="197" t="s">
        <v>12</v>
      </c>
      <c r="L165" s="196">
        <v>5</v>
      </c>
      <c r="M165" s="223" t="s">
        <v>205</v>
      </c>
      <c r="O165" s="4"/>
      <c r="P165" s="4"/>
      <c r="Q165" s="107" t="s">
        <v>4</v>
      </c>
      <c r="R165" s="101">
        <f>J165*L165</f>
        <v>1650000</v>
      </c>
    </row>
    <row r="166" spans="1:18" s="63" customFormat="1" ht="15.4" customHeight="1">
      <c r="A166" s="378"/>
      <c r="B166" s="378"/>
      <c r="C166" s="378"/>
      <c r="D166" s="458"/>
      <c r="E166" s="302"/>
      <c r="F166" s="302"/>
      <c r="G166" s="445"/>
      <c r="H166" s="459"/>
      <c r="I166" s="130" t="s">
        <v>200</v>
      </c>
      <c r="J166" s="4">
        <v>8800</v>
      </c>
      <c r="K166" s="223" t="s">
        <v>12</v>
      </c>
      <c r="L166" s="196">
        <v>1</v>
      </c>
      <c r="M166" s="223" t="s">
        <v>206</v>
      </c>
      <c r="N166" s="4" t="s">
        <v>12</v>
      </c>
      <c r="O166" s="4">
        <v>9</v>
      </c>
      <c r="P166" s="4" t="s">
        <v>54</v>
      </c>
      <c r="Q166" s="107" t="s">
        <v>4</v>
      </c>
      <c r="R166" s="171">
        <f>J166*L166*O166</f>
        <v>79200</v>
      </c>
    </row>
    <row r="167" spans="1:18" s="63" customFormat="1" ht="15.4" customHeight="1">
      <c r="A167" s="378"/>
      <c r="B167" s="378"/>
      <c r="C167" s="378"/>
      <c r="D167" s="458"/>
      <c r="E167" s="302"/>
      <c r="F167" s="302"/>
      <c r="G167" s="445"/>
      <c r="H167" s="459"/>
      <c r="I167" s="130"/>
      <c r="J167" s="159"/>
      <c r="K167" s="159"/>
      <c r="L167" s="159"/>
      <c r="M167" s="159"/>
      <c r="N167" s="159"/>
      <c r="O167" s="159"/>
      <c r="P167" s="159"/>
      <c r="Q167" s="199"/>
      <c r="R167" s="101"/>
    </row>
    <row r="168" spans="1:18" s="63" customFormat="1" ht="15.4" customHeight="1">
      <c r="A168" s="378"/>
      <c r="B168" s="378"/>
      <c r="C168" s="378"/>
      <c r="D168" s="458"/>
      <c r="E168" s="302"/>
      <c r="F168" s="302"/>
      <c r="G168" s="445"/>
      <c r="H168" s="459"/>
      <c r="I168" s="130" t="s">
        <v>203</v>
      </c>
      <c r="J168" s="159"/>
      <c r="K168" s="159"/>
      <c r="L168" s="159"/>
      <c r="M168" s="159"/>
      <c r="N168" s="159"/>
      <c r="O168" s="159"/>
      <c r="P168" s="159"/>
      <c r="Q168" s="199"/>
      <c r="R168" s="101"/>
    </row>
    <row r="169" spans="1:18" s="63" customFormat="1" ht="15.4" customHeight="1">
      <c r="A169" s="378"/>
      <c r="B169" s="378"/>
      <c r="C169" s="378"/>
      <c r="D169" s="458"/>
      <c r="E169" s="302"/>
      <c r="F169" s="302"/>
      <c r="G169" s="445"/>
      <c r="H169" s="459"/>
      <c r="I169" s="130" t="s">
        <v>204</v>
      </c>
      <c r="J169" s="109">
        <v>15000</v>
      </c>
      <c r="K169" s="4" t="s">
        <v>12</v>
      </c>
      <c r="L169" s="4">
        <v>1</v>
      </c>
      <c r="M169" s="4" t="s">
        <v>169</v>
      </c>
      <c r="N169" s="4" t="s">
        <v>12</v>
      </c>
      <c r="O169" s="4">
        <v>12</v>
      </c>
      <c r="P169" s="4" t="s">
        <v>54</v>
      </c>
      <c r="Q169" s="107" t="s">
        <v>4</v>
      </c>
      <c r="R169" s="200">
        <f>J169*L169*O169</f>
        <v>180000</v>
      </c>
    </row>
    <row r="170" spans="1:18" s="63" customFormat="1" ht="15.4" customHeight="1">
      <c r="A170" s="378"/>
      <c r="B170" s="378"/>
      <c r="C170" s="378"/>
      <c r="D170" s="458"/>
      <c r="E170" s="302"/>
      <c r="F170" s="302"/>
      <c r="G170" s="445"/>
      <c r="H170" s="459"/>
      <c r="I170" s="130"/>
      <c r="J170" s="4"/>
      <c r="K170" s="4"/>
      <c r="L170" s="4"/>
      <c r="M170" s="4"/>
      <c r="N170" s="4"/>
      <c r="O170" s="4"/>
      <c r="P170" s="4"/>
      <c r="Q170" s="107"/>
      <c r="R170" s="171"/>
    </row>
    <row r="171" spans="1:18" s="63" customFormat="1" ht="15.4" customHeight="1">
      <c r="A171" s="378"/>
      <c r="B171" s="378"/>
      <c r="C171" s="378"/>
      <c r="D171" s="458"/>
      <c r="E171" s="302"/>
      <c r="F171" s="302"/>
      <c r="G171" s="445"/>
      <c r="H171" s="459"/>
      <c r="I171" s="130"/>
      <c r="J171" s="4"/>
      <c r="K171" s="4"/>
      <c r="L171" s="4"/>
      <c r="M171" s="4"/>
      <c r="N171" s="4"/>
      <c r="O171" s="4"/>
      <c r="P171" s="4"/>
      <c r="Q171" s="107"/>
      <c r="R171" s="171"/>
    </row>
    <row r="172" spans="1:18" s="63" customFormat="1" ht="15.4" customHeight="1">
      <c r="A172" s="378"/>
      <c r="B172" s="378"/>
      <c r="C172" s="378"/>
      <c r="D172" s="458"/>
      <c r="E172" s="302"/>
      <c r="F172" s="302"/>
      <c r="G172" s="445"/>
      <c r="H172" s="459"/>
      <c r="I172" s="130"/>
      <c r="J172" s="4"/>
      <c r="K172" s="4"/>
      <c r="L172" s="4"/>
      <c r="M172" s="4"/>
      <c r="N172" s="4"/>
      <c r="O172" s="4"/>
      <c r="P172" s="4"/>
      <c r="Q172" s="107"/>
      <c r="R172" s="171"/>
    </row>
    <row r="173" spans="1:18" s="63" customFormat="1" ht="15.4" customHeight="1">
      <c r="A173" s="378"/>
      <c r="B173" s="378"/>
      <c r="C173" s="378"/>
      <c r="D173" s="458"/>
      <c r="E173" s="302"/>
      <c r="F173" s="302"/>
      <c r="G173" s="445"/>
      <c r="H173" s="459"/>
      <c r="I173" s="130"/>
      <c r="J173" s="4"/>
      <c r="K173" s="4"/>
      <c r="L173" s="4"/>
      <c r="M173" s="4"/>
      <c r="N173" s="4"/>
      <c r="O173" s="4"/>
      <c r="P173" s="4"/>
      <c r="Q173" s="107"/>
      <c r="R173" s="171"/>
    </row>
    <row r="174" spans="1:18" s="63" customFormat="1" ht="15.4" customHeight="1">
      <c r="A174" s="378"/>
      <c r="B174" s="378"/>
      <c r="C174" s="378"/>
      <c r="D174" s="458"/>
      <c r="E174" s="302"/>
      <c r="F174" s="302"/>
      <c r="G174" s="445"/>
      <c r="H174" s="459"/>
      <c r="I174" s="130"/>
      <c r="J174" s="4"/>
      <c r="K174" s="4"/>
      <c r="L174" s="4"/>
      <c r="M174" s="4"/>
      <c r="N174" s="4"/>
      <c r="O174" s="4"/>
      <c r="P174" s="4"/>
      <c r="Q174" s="162" t="s">
        <v>180</v>
      </c>
      <c r="R174" s="201">
        <f>SUM(R162:R166)</f>
        <v>7935200</v>
      </c>
    </row>
    <row r="175" spans="1:18" s="63" customFormat="1" ht="15.75" customHeight="1">
      <c r="A175" s="378"/>
      <c r="B175" s="378"/>
      <c r="C175" s="378"/>
      <c r="D175" s="460"/>
      <c r="E175" s="303"/>
      <c r="F175" s="303"/>
      <c r="G175" s="443"/>
      <c r="H175" s="455"/>
      <c r="I175" s="174"/>
      <c r="J175" s="224"/>
      <c r="K175" s="224"/>
      <c r="L175" s="224"/>
      <c r="M175" s="224"/>
      <c r="N175" s="123"/>
      <c r="O175" s="123"/>
      <c r="P175" s="123"/>
      <c r="Q175" s="202"/>
      <c r="R175" s="203">
        <f>R169</f>
        <v>180000</v>
      </c>
    </row>
    <row r="176" spans="1:18" ht="16.5" customHeight="1">
      <c r="A176" s="68" t="s">
        <v>77</v>
      </c>
      <c r="B176" s="68"/>
      <c r="C176" s="364" t="s">
        <v>78</v>
      </c>
      <c r="D176" s="364"/>
      <c r="E176" s="80"/>
      <c r="F176" s="80"/>
      <c r="G176" s="365"/>
      <c r="H176" s="366"/>
      <c r="I176" s="367"/>
      <c r="J176" s="367"/>
      <c r="K176" s="367"/>
      <c r="L176" s="367"/>
      <c r="M176" s="367"/>
      <c r="N176" s="367"/>
      <c r="O176" s="367"/>
      <c r="P176" s="367"/>
      <c r="Q176" s="367"/>
      <c r="R176" s="69" t="s">
        <v>0</v>
      </c>
    </row>
    <row r="177" spans="1:18" s="63" customFormat="1" ht="19.5" customHeight="1">
      <c r="A177" s="315" t="s">
        <v>79</v>
      </c>
      <c r="B177" s="315" t="s">
        <v>80</v>
      </c>
      <c r="C177" s="315" t="s">
        <v>223</v>
      </c>
      <c r="D177" s="315" t="s">
        <v>1</v>
      </c>
      <c r="E177" s="70" t="s">
        <v>229</v>
      </c>
      <c r="F177" s="70" t="s">
        <v>231</v>
      </c>
      <c r="G177" s="317" t="s">
        <v>82</v>
      </c>
      <c r="H177" s="318"/>
      <c r="I177" s="319" t="s">
        <v>83</v>
      </c>
      <c r="J177" s="320"/>
      <c r="K177" s="320"/>
      <c r="L177" s="320"/>
      <c r="M177" s="320"/>
      <c r="N177" s="320"/>
      <c r="O177" s="320"/>
      <c r="P177" s="320"/>
      <c r="Q177" s="320"/>
      <c r="R177" s="321"/>
    </row>
    <row r="178" spans="1:18" s="63" customFormat="1" ht="19.5" customHeight="1">
      <c r="A178" s="322"/>
      <c r="B178" s="322"/>
      <c r="C178" s="322"/>
      <c r="D178" s="322"/>
      <c r="E178" s="70" t="s">
        <v>230</v>
      </c>
      <c r="F178" s="70" t="s">
        <v>232</v>
      </c>
      <c r="G178" s="118" t="s">
        <v>2</v>
      </c>
      <c r="H178" s="324" t="s">
        <v>84</v>
      </c>
      <c r="I178" s="325"/>
      <c r="J178" s="326"/>
      <c r="K178" s="326"/>
      <c r="L178" s="326"/>
      <c r="M178" s="326"/>
      <c r="N178" s="326"/>
      <c r="O178" s="326"/>
      <c r="P178" s="326"/>
      <c r="Q178" s="326"/>
      <c r="R178" s="327"/>
    </row>
    <row r="179" spans="1:18" s="63" customFormat="1" ht="14.1" customHeight="1">
      <c r="A179" s="378"/>
      <c r="B179" s="378"/>
      <c r="C179" s="378"/>
      <c r="D179" s="300" t="s">
        <v>181</v>
      </c>
      <c r="E179" s="304">
        <v>1800</v>
      </c>
      <c r="F179" s="304">
        <f>R194/1000</f>
        <v>0</v>
      </c>
      <c r="G179" s="360">
        <f>F179+F188-E179-E188</f>
        <v>-288</v>
      </c>
      <c r="H179" s="450">
        <f>G179/E179:E195</f>
        <v>-0.16</v>
      </c>
      <c r="I179" s="130"/>
      <c r="J179" s="179"/>
      <c r="K179" s="179"/>
      <c r="L179" s="180"/>
      <c r="M179" s="180"/>
      <c r="N179" s="180"/>
      <c r="O179" s="181"/>
      <c r="P179" s="179"/>
      <c r="Q179" s="182"/>
      <c r="R179" s="183"/>
    </row>
    <row r="180" spans="1:18" s="63" customFormat="1" ht="14.1" customHeight="1">
      <c r="A180" s="378"/>
      <c r="B180" s="378"/>
      <c r="C180" s="378"/>
      <c r="D180" s="394"/>
      <c r="E180" s="302"/>
      <c r="F180" s="302"/>
      <c r="G180" s="461"/>
      <c r="H180" s="459"/>
      <c r="I180" s="130" t="s">
        <v>250</v>
      </c>
      <c r="J180" s="179">
        <v>150000</v>
      </c>
      <c r="K180" s="179" t="s">
        <v>12</v>
      </c>
      <c r="L180" s="180">
        <v>2</v>
      </c>
      <c r="M180" s="180" t="s">
        <v>55</v>
      </c>
      <c r="N180" s="180" t="s">
        <v>12</v>
      </c>
      <c r="O180" s="181">
        <v>3</v>
      </c>
      <c r="P180" s="179" t="s">
        <v>13</v>
      </c>
      <c r="Q180" s="182" t="s">
        <v>4</v>
      </c>
      <c r="R180" s="183">
        <f>J180*L180*O180</f>
        <v>900000</v>
      </c>
    </row>
    <row r="181" spans="1:18" s="63" customFormat="1" ht="14.1" customHeight="1">
      <c r="A181" s="378"/>
      <c r="B181" s="378"/>
      <c r="C181" s="378"/>
      <c r="D181" s="394"/>
      <c r="E181" s="302"/>
      <c r="F181" s="302"/>
      <c r="G181" s="461"/>
      <c r="H181" s="459"/>
      <c r="I181" s="130"/>
      <c r="J181" s="179"/>
      <c r="K181" s="179"/>
      <c r="L181" s="180"/>
      <c r="M181" s="180"/>
      <c r="N181" s="180"/>
      <c r="O181" s="181"/>
      <c r="P181" s="179"/>
      <c r="Q181" s="182"/>
      <c r="R181" s="183"/>
    </row>
    <row r="182" spans="1:18" s="63" customFormat="1" ht="14.1" customHeight="1">
      <c r="A182" s="378"/>
      <c r="B182" s="378"/>
      <c r="C182" s="378"/>
      <c r="D182" s="394"/>
      <c r="E182" s="302"/>
      <c r="F182" s="302"/>
      <c r="G182" s="461"/>
      <c r="H182" s="459"/>
      <c r="I182" s="130" t="s">
        <v>210</v>
      </c>
      <c r="J182" s="179"/>
      <c r="K182" s="179"/>
      <c r="L182" s="180"/>
      <c r="M182" s="180"/>
      <c r="N182" s="180"/>
      <c r="O182" s="181"/>
      <c r="P182" s="179"/>
      <c r="Q182" s="182"/>
      <c r="R182" s="183"/>
    </row>
    <row r="183" spans="1:18" s="63" customFormat="1" ht="14.1" customHeight="1">
      <c r="A183" s="378"/>
      <c r="B183" s="378"/>
      <c r="C183" s="378"/>
      <c r="D183" s="394"/>
      <c r="E183" s="302"/>
      <c r="F183" s="302"/>
      <c r="G183" s="461"/>
      <c r="H183" s="459"/>
      <c r="I183" s="130" t="s">
        <v>251</v>
      </c>
      <c r="J183" s="131">
        <v>250000</v>
      </c>
      <c r="K183" s="162" t="s">
        <v>252</v>
      </c>
      <c r="L183" s="176">
        <v>1</v>
      </c>
      <c r="M183" s="177" t="s">
        <v>144</v>
      </c>
      <c r="N183" s="178" t="s">
        <v>12</v>
      </c>
      <c r="O183" s="176">
        <v>1</v>
      </c>
      <c r="P183" s="177" t="s">
        <v>13</v>
      </c>
      <c r="Q183" s="177" t="s">
        <v>3</v>
      </c>
      <c r="R183" s="129">
        <f>J183*L183*O183</f>
        <v>250000</v>
      </c>
    </row>
    <row r="184" spans="1:18" s="63" customFormat="1" ht="14.1" customHeight="1">
      <c r="A184" s="378"/>
      <c r="B184" s="378"/>
      <c r="C184" s="378"/>
      <c r="D184" s="394"/>
      <c r="E184" s="302"/>
      <c r="F184" s="302"/>
      <c r="G184" s="461"/>
      <c r="H184" s="459"/>
      <c r="I184" s="184"/>
      <c r="J184" s="179"/>
      <c r="K184" s="179"/>
      <c r="L184" s="180"/>
      <c r="M184" s="180"/>
      <c r="N184" s="180"/>
      <c r="O184" s="181"/>
      <c r="P184" s="179"/>
      <c r="Q184" s="182"/>
      <c r="R184" s="185">
        <f>J184*L184*O184</f>
        <v>0</v>
      </c>
    </row>
    <row r="185" spans="1:18" s="63" customFormat="1" ht="14.1" customHeight="1">
      <c r="A185" s="378"/>
      <c r="B185" s="378"/>
      <c r="C185" s="378"/>
      <c r="D185" s="394"/>
      <c r="E185" s="302"/>
      <c r="F185" s="302"/>
      <c r="G185" s="461"/>
      <c r="H185" s="459"/>
      <c r="I185" s="184"/>
      <c r="J185" s="179"/>
      <c r="K185" s="179"/>
      <c r="L185" s="180"/>
      <c r="M185" s="180"/>
      <c r="N185" s="180"/>
      <c r="O185" s="181"/>
      <c r="P185" s="179"/>
      <c r="Q185" s="182"/>
      <c r="R185" s="183"/>
    </row>
    <row r="186" spans="1:18" s="63" customFormat="1" ht="14.1" customHeight="1">
      <c r="A186" s="378"/>
      <c r="B186" s="378"/>
      <c r="C186" s="378"/>
      <c r="D186" s="394"/>
      <c r="E186" s="302"/>
      <c r="F186" s="302"/>
      <c r="G186" s="461"/>
      <c r="H186" s="459"/>
      <c r="I186" s="130" t="s">
        <v>253</v>
      </c>
      <c r="J186" s="131">
        <v>8000</v>
      </c>
      <c r="K186" s="162" t="s">
        <v>254</v>
      </c>
      <c r="L186" s="176">
        <v>8</v>
      </c>
      <c r="M186" s="177" t="s">
        <v>255</v>
      </c>
      <c r="N186" s="178" t="s">
        <v>254</v>
      </c>
      <c r="O186" s="176">
        <v>3</v>
      </c>
      <c r="P186" s="177" t="s">
        <v>256</v>
      </c>
      <c r="Q186" s="177" t="s">
        <v>257</v>
      </c>
      <c r="R186" s="129">
        <f>J186*L186*O186</f>
        <v>192000</v>
      </c>
    </row>
    <row r="187" spans="1:18" s="63" customFormat="1" ht="14.1" customHeight="1">
      <c r="A187" s="378"/>
      <c r="B187" s="378"/>
      <c r="C187" s="378"/>
      <c r="D187" s="394"/>
      <c r="E187" s="303"/>
      <c r="F187" s="303"/>
      <c r="G187" s="461"/>
      <c r="H187" s="459"/>
      <c r="I187" s="184"/>
      <c r="J187" s="179"/>
      <c r="K187" s="179"/>
      <c r="L187" s="180"/>
      <c r="M187" s="180"/>
      <c r="N187" s="180"/>
      <c r="O187" s="181"/>
      <c r="P187" s="179"/>
      <c r="Q187" s="182"/>
      <c r="R187" s="183"/>
    </row>
    <row r="188" spans="1:18" s="63" customFormat="1" ht="14.1" customHeight="1">
      <c r="A188" s="378"/>
      <c r="B188" s="378"/>
      <c r="C188" s="378"/>
      <c r="D188" s="394"/>
      <c r="E188" s="304">
        <v>380</v>
      </c>
      <c r="F188" s="304">
        <f>R195/1000</f>
        <v>1892</v>
      </c>
      <c r="G188" s="461"/>
      <c r="H188" s="459"/>
      <c r="I188" s="184" t="s">
        <v>207</v>
      </c>
      <c r="J188" s="179">
        <v>30000</v>
      </c>
      <c r="K188" s="179" t="s">
        <v>12</v>
      </c>
      <c r="L188" s="180">
        <v>6</v>
      </c>
      <c r="M188" s="180" t="s">
        <v>172</v>
      </c>
      <c r="N188" s="178" t="s">
        <v>259</v>
      </c>
      <c r="O188" s="176">
        <v>1</v>
      </c>
      <c r="P188" s="177" t="s">
        <v>258</v>
      </c>
      <c r="Q188" s="182" t="s">
        <v>4</v>
      </c>
      <c r="R188" s="183">
        <f>J188*L188*O188</f>
        <v>180000</v>
      </c>
    </row>
    <row r="189" spans="1:18" s="63" customFormat="1" ht="14.1" customHeight="1">
      <c r="A189" s="378"/>
      <c r="B189" s="378"/>
      <c r="C189" s="378"/>
      <c r="D189" s="394"/>
      <c r="E189" s="302"/>
      <c r="F189" s="302"/>
      <c r="G189" s="461"/>
      <c r="H189" s="459"/>
      <c r="I189" s="184"/>
      <c r="J189" s="179"/>
      <c r="K189" s="179"/>
      <c r="L189" s="180"/>
      <c r="M189" s="180"/>
      <c r="N189" s="180"/>
      <c r="O189" s="181"/>
      <c r="P189" s="179"/>
      <c r="Q189" s="182"/>
      <c r="R189" s="183"/>
    </row>
    <row r="190" spans="1:18" s="63" customFormat="1" ht="14.1" customHeight="1">
      <c r="A190" s="378"/>
      <c r="B190" s="378"/>
      <c r="C190" s="378"/>
      <c r="D190" s="394"/>
      <c r="E190" s="302"/>
      <c r="F190" s="302"/>
      <c r="G190" s="461"/>
      <c r="H190" s="459"/>
      <c r="I190" s="184" t="s">
        <v>260</v>
      </c>
      <c r="J190" s="179"/>
      <c r="K190" s="179"/>
      <c r="L190" s="180"/>
      <c r="M190" s="180"/>
      <c r="N190" s="180"/>
      <c r="O190" s="181"/>
      <c r="P190" s="179"/>
      <c r="Q190" s="182"/>
      <c r="R190" s="183"/>
    </row>
    <row r="191" spans="1:18" s="63" customFormat="1" ht="14.1" customHeight="1">
      <c r="A191" s="378"/>
      <c r="B191" s="378"/>
      <c r="C191" s="378"/>
      <c r="D191" s="394"/>
      <c r="E191" s="302"/>
      <c r="F191" s="302"/>
      <c r="G191" s="461"/>
      <c r="H191" s="459"/>
      <c r="I191" s="184" t="s">
        <v>211</v>
      </c>
      <c r="J191" s="179">
        <v>8000</v>
      </c>
      <c r="K191" s="179" t="s">
        <v>12</v>
      </c>
      <c r="L191" s="180">
        <v>40</v>
      </c>
      <c r="M191" s="180" t="s">
        <v>213</v>
      </c>
      <c r="N191" s="180" t="s">
        <v>214</v>
      </c>
      <c r="O191" s="181">
        <v>1</v>
      </c>
      <c r="P191" s="179" t="s">
        <v>215</v>
      </c>
      <c r="Q191" s="182" t="s">
        <v>4</v>
      </c>
      <c r="R191" s="183">
        <f>J191*L191</f>
        <v>320000</v>
      </c>
    </row>
    <row r="192" spans="1:18" s="63" customFormat="1" ht="14.1" customHeight="1">
      <c r="A192" s="378"/>
      <c r="B192" s="378"/>
      <c r="C192" s="378"/>
      <c r="D192" s="394"/>
      <c r="E192" s="302"/>
      <c r="F192" s="302"/>
      <c r="G192" s="461"/>
      <c r="H192" s="459"/>
      <c r="I192" s="184" t="s">
        <v>212</v>
      </c>
      <c r="J192" s="179">
        <v>50000</v>
      </c>
      <c r="K192" s="179" t="s">
        <v>12</v>
      </c>
      <c r="L192" s="180">
        <v>1</v>
      </c>
      <c r="M192" s="180" t="s">
        <v>216</v>
      </c>
      <c r="N192" s="180" t="s">
        <v>12</v>
      </c>
      <c r="O192" s="181">
        <v>1</v>
      </c>
      <c r="P192" s="179" t="s">
        <v>13</v>
      </c>
      <c r="Q192" s="182" t="s">
        <v>4</v>
      </c>
      <c r="R192" s="183">
        <f>J192*L192</f>
        <v>50000</v>
      </c>
    </row>
    <row r="193" spans="1:18" s="63" customFormat="1" ht="14.1" customHeight="1">
      <c r="A193" s="378"/>
      <c r="B193" s="378"/>
      <c r="C193" s="378"/>
      <c r="D193" s="394"/>
      <c r="E193" s="302"/>
      <c r="F193" s="302"/>
      <c r="G193" s="461"/>
      <c r="H193" s="459"/>
      <c r="I193" s="184"/>
      <c r="J193" s="179"/>
      <c r="K193" s="179"/>
      <c r="L193" s="180"/>
      <c r="M193" s="180"/>
      <c r="N193" s="180"/>
      <c r="O193" s="181"/>
      <c r="P193" s="179"/>
      <c r="Q193" s="182"/>
      <c r="R193" s="183"/>
    </row>
    <row r="194" spans="1:18" s="63" customFormat="1" ht="14.1" customHeight="1">
      <c r="A194" s="378"/>
      <c r="B194" s="378"/>
      <c r="C194" s="378"/>
      <c r="D194" s="394"/>
      <c r="E194" s="302"/>
      <c r="F194" s="302"/>
      <c r="G194" s="461"/>
      <c r="H194" s="459"/>
      <c r="Q194" s="186" t="s">
        <v>9</v>
      </c>
      <c r="R194" s="187">
        <f>SUM(R184:R184)</f>
        <v>0</v>
      </c>
    </row>
    <row r="195" spans="1:18" s="63" customFormat="1" ht="14.1" customHeight="1">
      <c r="A195" s="387"/>
      <c r="B195" s="387"/>
      <c r="C195" s="387"/>
      <c r="D195" s="301"/>
      <c r="E195" s="303"/>
      <c r="F195" s="303"/>
      <c r="G195" s="342"/>
      <c r="H195" s="455"/>
      <c r="I195" s="174"/>
      <c r="J195" s="188"/>
      <c r="K195" s="188"/>
      <c r="L195" s="188"/>
      <c r="M195" s="188"/>
      <c r="N195" s="188"/>
      <c r="O195" s="188"/>
      <c r="P195" s="188"/>
      <c r="Q195" s="111"/>
      <c r="R195" s="132">
        <f>SUM(R185:R193)+SUM(R179:R183)</f>
        <v>1892000</v>
      </c>
    </row>
    <row r="196" spans="1:18" s="63" customFormat="1" ht="16.5" customHeight="1">
      <c r="A196" s="378"/>
      <c r="B196" s="378"/>
      <c r="C196" s="462" t="s">
        <v>182</v>
      </c>
      <c r="D196" s="440"/>
      <c r="E196" s="81">
        <f>E198</f>
        <v>32110</v>
      </c>
      <c r="F196" s="81">
        <f>F198</f>
        <v>40320</v>
      </c>
      <c r="G196" s="360">
        <f>F196+F197-E196-E197</f>
        <v>-2608</v>
      </c>
      <c r="H196" s="450">
        <f>G196/E196:E197</f>
        <v>-8.122080348800996E-2</v>
      </c>
      <c r="I196" s="432"/>
      <c r="J196" s="463"/>
      <c r="K196" s="463"/>
      <c r="L196" s="463"/>
      <c r="M196" s="463"/>
      <c r="N196" s="463"/>
      <c r="O196" s="463"/>
      <c r="P196" s="463"/>
      <c r="Q196" s="125"/>
      <c r="R196" s="453">
        <f>R205</f>
        <v>40320000</v>
      </c>
    </row>
    <row r="197" spans="1:18" s="63" customFormat="1" ht="16.5" customHeight="1">
      <c r="A197" s="378"/>
      <c r="B197" s="378"/>
      <c r="C197" s="464"/>
      <c r="D197" s="379"/>
      <c r="E197" s="81">
        <f>E201</f>
        <v>11248</v>
      </c>
      <c r="F197" s="81">
        <f>F201</f>
        <v>430</v>
      </c>
      <c r="G197" s="342"/>
      <c r="H197" s="455"/>
      <c r="I197" s="174"/>
      <c r="J197" s="465"/>
      <c r="K197" s="465"/>
      <c r="L197" s="465"/>
      <c r="M197" s="465"/>
      <c r="N197" s="465"/>
      <c r="O197" s="465"/>
      <c r="P197" s="465"/>
      <c r="Q197" s="111"/>
      <c r="R197" s="124">
        <f>R206</f>
        <v>430000</v>
      </c>
    </row>
    <row r="198" spans="1:18" s="63" customFormat="1" ht="16.5" customHeight="1">
      <c r="A198" s="378"/>
      <c r="B198" s="378"/>
      <c r="C198" s="466"/>
      <c r="D198" s="394" t="s">
        <v>192</v>
      </c>
      <c r="E198" s="302">
        <v>32110</v>
      </c>
      <c r="F198" s="302">
        <f>R205/1000</f>
        <v>40320</v>
      </c>
      <c r="G198" s="461">
        <f>F198+F201-E201-E198</f>
        <v>-2608</v>
      </c>
      <c r="H198" s="459">
        <f>G198/E198:E206</f>
        <v>-8.122080348800996E-2</v>
      </c>
      <c r="I198" s="189" t="s">
        <v>261</v>
      </c>
      <c r="J198" s="131"/>
      <c r="K198" s="162"/>
      <c r="L198" s="176"/>
      <c r="M198" s="223"/>
      <c r="N198" s="223"/>
      <c r="O198" s="176"/>
      <c r="P198" s="223"/>
      <c r="Q198" s="223"/>
      <c r="R198" s="129">
        <f>SUM(R199:R200)</f>
        <v>40320000</v>
      </c>
    </row>
    <row r="199" spans="1:18" s="63" customFormat="1" ht="16.5" customHeight="1">
      <c r="A199" s="378"/>
      <c r="B199" s="378"/>
      <c r="C199" s="466"/>
      <c r="D199" s="394"/>
      <c r="E199" s="302"/>
      <c r="F199" s="302"/>
      <c r="G199" s="461"/>
      <c r="H199" s="459"/>
      <c r="I199" s="190" t="s">
        <v>262</v>
      </c>
      <c r="J199" s="191">
        <v>36000</v>
      </c>
      <c r="K199" s="162" t="s">
        <v>259</v>
      </c>
      <c r="L199" s="162">
        <v>60</v>
      </c>
      <c r="M199" s="162" t="s">
        <v>263</v>
      </c>
      <c r="N199" s="162" t="s">
        <v>259</v>
      </c>
      <c r="O199" s="162">
        <v>12</v>
      </c>
      <c r="P199" s="162" t="s">
        <v>264</v>
      </c>
      <c r="Q199" s="162" t="s">
        <v>4</v>
      </c>
      <c r="R199" s="129">
        <f t="shared" ref="R199:R203" si="10">J199*L199*O199</f>
        <v>25920000</v>
      </c>
    </row>
    <row r="200" spans="1:18" s="63" customFormat="1" ht="16.5" customHeight="1">
      <c r="A200" s="378"/>
      <c r="B200" s="378"/>
      <c r="C200" s="466"/>
      <c r="D200" s="394"/>
      <c r="E200" s="303"/>
      <c r="F200" s="303"/>
      <c r="G200" s="461"/>
      <c r="H200" s="459"/>
      <c r="I200" s="190" t="s">
        <v>265</v>
      </c>
      <c r="J200" s="191">
        <v>24000</v>
      </c>
      <c r="K200" s="162" t="s">
        <v>12</v>
      </c>
      <c r="L200" s="162">
        <v>50</v>
      </c>
      <c r="M200" s="162" t="s">
        <v>266</v>
      </c>
      <c r="N200" s="162" t="s">
        <v>259</v>
      </c>
      <c r="O200" s="162">
        <v>12</v>
      </c>
      <c r="P200" s="162" t="s">
        <v>267</v>
      </c>
      <c r="Q200" s="162" t="s">
        <v>4</v>
      </c>
      <c r="R200" s="129">
        <f t="shared" si="10"/>
        <v>14400000</v>
      </c>
    </row>
    <row r="201" spans="1:18" s="63" customFormat="1" ht="16.5" customHeight="1">
      <c r="A201" s="378"/>
      <c r="B201" s="378"/>
      <c r="C201" s="466"/>
      <c r="D201" s="394"/>
      <c r="E201" s="304">
        <v>11248</v>
      </c>
      <c r="F201" s="304">
        <f>R206/1000</f>
        <v>430</v>
      </c>
      <c r="G201" s="461"/>
      <c r="H201" s="459"/>
      <c r="I201" s="190" t="s">
        <v>268</v>
      </c>
      <c r="J201" s="192"/>
      <c r="K201" s="162"/>
      <c r="L201" s="162"/>
      <c r="M201" s="162"/>
      <c r="N201" s="162"/>
      <c r="O201" s="162"/>
      <c r="P201" s="162"/>
      <c r="Q201" s="162" t="s">
        <v>269</v>
      </c>
      <c r="R201" s="129">
        <f>SUM(R202:R203)</f>
        <v>430000</v>
      </c>
    </row>
    <row r="202" spans="1:18" s="63" customFormat="1" ht="16.5" customHeight="1">
      <c r="A202" s="378"/>
      <c r="B202" s="378"/>
      <c r="C202" s="466"/>
      <c r="D202" s="467"/>
      <c r="E202" s="302"/>
      <c r="F202" s="302"/>
      <c r="G202" s="461"/>
      <c r="H202" s="459"/>
      <c r="I202" s="190" t="s">
        <v>270</v>
      </c>
      <c r="J202" s="191">
        <v>20000</v>
      </c>
      <c r="K202" s="162" t="s">
        <v>12</v>
      </c>
      <c r="L202" s="162">
        <v>10</v>
      </c>
      <c r="M202" s="162" t="s">
        <v>55</v>
      </c>
      <c r="N202" s="162" t="s">
        <v>12</v>
      </c>
      <c r="O202" s="162">
        <v>2</v>
      </c>
      <c r="P202" s="162" t="s">
        <v>258</v>
      </c>
      <c r="Q202" s="162" t="s">
        <v>4</v>
      </c>
      <c r="R202" s="129">
        <f t="shared" si="10"/>
        <v>400000</v>
      </c>
    </row>
    <row r="203" spans="1:18" s="63" customFormat="1" ht="16.5" customHeight="1">
      <c r="A203" s="378"/>
      <c r="B203" s="378"/>
      <c r="C203" s="466"/>
      <c r="D203" s="467"/>
      <c r="E203" s="302"/>
      <c r="F203" s="302"/>
      <c r="G203" s="461"/>
      <c r="H203" s="459"/>
      <c r="I203" s="190" t="s">
        <v>271</v>
      </c>
      <c r="J203" s="191">
        <v>30000</v>
      </c>
      <c r="K203" s="162" t="s">
        <v>12</v>
      </c>
      <c r="L203" s="162">
        <v>1</v>
      </c>
      <c r="M203" s="162" t="s">
        <v>272</v>
      </c>
      <c r="N203" s="162" t="s">
        <v>12</v>
      </c>
      <c r="O203" s="162">
        <v>1</v>
      </c>
      <c r="P203" s="162" t="s">
        <v>258</v>
      </c>
      <c r="Q203" s="162" t="s">
        <v>273</v>
      </c>
      <c r="R203" s="129">
        <f t="shared" si="10"/>
        <v>30000</v>
      </c>
    </row>
    <row r="204" spans="1:18" s="63" customFormat="1" ht="16.5" customHeight="1">
      <c r="A204" s="378"/>
      <c r="B204" s="378"/>
      <c r="C204" s="466"/>
      <c r="D204" s="467"/>
      <c r="E204" s="302"/>
      <c r="F204" s="302"/>
      <c r="G204" s="461"/>
      <c r="H204" s="459"/>
      <c r="I204" s="107"/>
      <c r="J204" s="193"/>
      <c r="K204" s="109"/>
      <c r="L204" s="107"/>
      <c r="M204" s="109"/>
      <c r="N204" s="109"/>
      <c r="O204" s="109"/>
      <c r="P204" s="194"/>
      <c r="Q204" s="107"/>
      <c r="R204" s="195"/>
    </row>
    <row r="205" spans="1:18" s="63" customFormat="1" ht="16.5" customHeight="1">
      <c r="A205" s="378"/>
      <c r="B205" s="378"/>
      <c r="C205" s="466"/>
      <c r="D205" s="467"/>
      <c r="E205" s="302"/>
      <c r="F205" s="302"/>
      <c r="G205" s="461"/>
      <c r="H205" s="459"/>
      <c r="I205" s="107"/>
      <c r="J205" s="193"/>
      <c r="K205" s="109"/>
      <c r="L205" s="107"/>
      <c r="M205" s="109"/>
      <c r="N205" s="109"/>
      <c r="O205" s="109"/>
      <c r="P205" s="194"/>
      <c r="Q205" s="107" t="s">
        <v>9</v>
      </c>
      <c r="R205" s="185">
        <f>R198</f>
        <v>40320000</v>
      </c>
    </row>
    <row r="206" spans="1:18" s="63" customFormat="1" ht="16.5" customHeight="1">
      <c r="A206" s="387"/>
      <c r="B206" s="387"/>
      <c r="C206" s="466"/>
      <c r="D206" s="468"/>
      <c r="E206" s="303"/>
      <c r="F206" s="303"/>
      <c r="G206" s="342"/>
      <c r="H206" s="455"/>
      <c r="I206" s="111"/>
      <c r="J206" s="299"/>
      <c r="K206" s="299"/>
      <c r="L206" s="299"/>
      <c r="M206" s="299"/>
      <c r="N206" s="299"/>
      <c r="O206" s="299"/>
      <c r="P206" s="299"/>
      <c r="Q206" s="111"/>
      <c r="R206" s="132">
        <f>R201</f>
        <v>430000</v>
      </c>
    </row>
    <row r="207" spans="1:18" ht="15.75" customHeight="1">
      <c r="A207" s="300" t="s">
        <v>14</v>
      </c>
      <c r="B207" s="290"/>
      <c r="C207" s="291"/>
      <c r="D207" s="291"/>
      <c r="E207" s="292">
        <f>E209</f>
        <v>3000</v>
      </c>
      <c r="F207" s="292">
        <f>F209</f>
        <v>1000</v>
      </c>
      <c r="G207" s="294">
        <f>G209</f>
        <v>-2000</v>
      </c>
      <c r="H207" s="296">
        <f>G207/E207</f>
        <v>-0.66666666666666663</v>
      </c>
      <c r="I207" s="297"/>
      <c r="J207" s="152"/>
      <c r="K207" s="152"/>
      <c r="L207" s="152"/>
      <c r="M207" s="152"/>
      <c r="N207" s="152"/>
      <c r="O207" s="152"/>
      <c r="P207" s="152"/>
      <c r="Q207" s="152"/>
      <c r="R207" s="153"/>
    </row>
    <row r="208" spans="1:18" ht="15.75" customHeight="1">
      <c r="A208" s="301"/>
      <c r="B208" s="290"/>
      <c r="C208" s="291"/>
      <c r="D208" s="291"/>
      <c r="E208" s="293"/>
      <c r="F208" s="293"/>
      <c r="G208" s="295"/>
      <c r="H208" s="296"/>
      <c r="I208" s="298"/>
      <c r="J208" s="154"/>
      <c r="K208" s="154"/>
      <c r="L208" s="154"/>
      <c r="M208" s="154"/>
      <c r="N208" s="154"/>
      <c r="O208" s="154"/>
      <c r="P208" s="154"/>
      <c r="Q208" s="154"/>
      <c r="R208" s="155">
        <f>J211+J213</f>
        <v>1000000</v>
      </c>
    </row>
    <row r="209" spans="1:18" ht="15.75" customHeight="1">
      <c r="A209" s="290"/>
      <c r="B209" s="290" t="s">
        <v>183</v>
      </c>
      <c r="C209" s="291"/>
      <c r="D209" s="291"/>
      <c r="E209" s="292">
        <f>E211+E213</f>
        <v>3000</v>
      </c>
      <c r="F209" s="292">
        <f>F211+F213</f>
        <v>1000</v>
      </c>
      <c r="G209" s="294">
        <f>G211+G213</f>
        <v>-2000</v>
      </c>
      <c r="H209" s="296">
        <f>G209/E209</f>
        <v>-0.66666666666666663</v>
      </c>
      <c r="I209" s="297"/>
      <c r="J209" s="286"/>
      <c r="K209" s="286"/>
      <c r="L209" s="286"/>
      <c r="M209" s="286"/>
      <c r="N209" s="286"/>
      <c r="O209" s="286"/>
      <c r="P209" s="286"/>
      <c r="Q209" s="286"/>
      <c r="R209" s="287"/>
    </row>
    <row r="210" spans="1:18" ht="15.75" customHeight="1">
      <c r="A210" s="290"/>
      <c r="B210" s="290"/>
      <c r="C210" s="291"/>
      <c r="D210" s="291"/>
      <c r="E210" s="293"/>
      <c r="F210" s="293"/>
      <c r="G210" s="295"/>
      <c r="H210" s="296"/>
      <c r="I210" s="298"/>
      <c r="J210" s="288"/>
      <c r="K210" s="288"/>
      <c r="L210" s="288"/>
      <c r="M210" s="288"/>
      <c r="N210" s="288"/>
      <c r="O210" s="288"/>
      <c r="P210" s="288"/>
      <c r="Q210" s="288"/>
      <c r="R210" s="289"/>
    </row>
    <row r="211" spans="1:18" ht="15.75" customHeight="1">
      <c r="A211" s="290"/>
      <c r="B211" s="290"/>
      <c r="C211" s="291" t="s">
        <v>184</v>
      </c>
      <c r="D211" s="291" t="s">
        <v>184</v>
      </c>
      <c r="E211" s="292">
        <v>2930</v>
      </c>
      <c r="F211" s="292">
        <f>J211/1000</f>
        <v>930</v>
      </c>
      <c r="G211" s="294">
        <f>F211-E211</f>
        <v>-2000</v>
      </c>
      <c r="H211" s="296">
        <f>G211/E211</f>
        <v>-0.68259385665529015</v>
      </c>
      <c r="I211" s="297" t="s">
        <v>185</v>
      </c>
      <c r="J211" s="286">
        <v>930000</v>
      </c>
      <c r="K211" s="286"/>
      <c r="L211" s="286"/>
      <c r="M211" s="286"/>
      <c r="N211" s="286"/>
      <c r="O211" s="286"/>
      <c r="P211" s="286"/>
      <c r="Q211" s="286"/>
      <c r="R211" s="287"/>
    </row>
    <row r="212" spans="1:18" ht="15.75" customHeight="1">
      <c r="A212" s="290"/>
      <c r="B212" s="290"/>
      <c r="C212" s="291"/>
      <c r="D212" s="291"/>
      <c r="E212" s="293"/>
      <c r="F212" s="293"/>
      <c r="G212" s="295"/>
      <c r="H212" s="296"/>
      <c r="I212" s="298"/>
      <c r="J212" s="288"/>
      <c r="K212" s="288"/>
      <c r="L212" s="288"/>
      <c r="M212" s="288"/>
      <c r="N212" s="288"/>
      <c r="O212" s="288"/>
      <c r="P212" s="288"/>
      <c r="Q212" s="288"/>
      <c r="R212" s="289"/>
    </row>
    <row r="213" spans="1:18" ht="15.75" customHeight="1">
      <c r="A213" s="290"/>
      <c r="B213" s="290"/>
      <c r="C213" s="291" t="s">
        <v>186</v>
      </c>
      <c r="D213" s="291" t="s">
        <v>187</v>
      </c>
      <c r="E213" s="292">
        <v>70</v>
      </c>
      <c r="F213" s="292">
        <f>J213/1000</f>
        <v>70</v>
      </c>
      <c r="G213" s="294">
        <f>F213-E213</f>
        <v>0</v>
      </c>
      <c r="H213" s="296">
        <f>G213/E213</f>
        <v>0</v>
      </c>
      <c r="I213" s="297" t="s">
        <v>188</v>
      </c>
      <c r="J213" s="286">
        <v>70000</v>
      </c>
      <c r="K213" s="286"/>
      <c r="L213" s="286"/>
      <c r="M213" s="286"/>
      <c r="N213" s="286"/>
      <c r="O213" s="286"/>
      <c r="P213" s="286"/>
      <c r="Q213" s="286"/>
      <c r="R213" s="287"/>
    </row>
    <row r="214" spans="1:18" ht="15.75" customHeight="1">
      <c r="A214" s="290"/>
      <c r="B214" s="290"/>
      <c r="C214" s="291"/>
      <c r="D214" s="291"/>
      <c r="E214" s="293"/>
      <c r="F214" s="293"/>
      <c r="G214" s="295"/>
      <c r="H214" s="296"/>
      <c r="I214" s="298"/>
      <c r="J214" s="288"/>
      <c r="K214" s="288"/>
      <c r="L214" s="288"/>
      <c r="M214" s="288"/>
      <c r="N214" s="288"/>
      <c r="O214" s="288"/>
      <c r="P214" s="288"/>
      <c r="Q214" s="288"/>
      <c r="R214" s="289"/>
    </row>
    <row r="235" ht="16.5" customHeight="1"/>
    <row r="238" ht="16.5" customHeight="1"/>
  </sheetData>
  <mergeCells count="273">
    <mergeCell ref="L147:M147"/>
    <mergeCell ref="F147:F152"/>
    <mergeCell ref="E147:E152"/>
    <mergeCell ref="F153:F161"/>
    <mergeCell ref="E153:E161"/>
    <mergeCell ref="G162:G175"/>
    <mergeCell ref="H162:H175"/>
    <mergeCell ref="G147:G161"/>
    <mergeCell ref="H147:H161"/>
    <mergeCell ref="E162:E164"/>
    <mergeCell ref="F162:F164"/>
    <mergeCell ref="F165:F175"/>
    <mergeCell ref="E165:E175"/>
    <mergeCell ref="A5:A6"/>
    <mergeCell ref="B5:B6"/>
    <mergeCell ref="C5:C6"/>
    <mergeCell ref="D5:D6"/>
    <mergeCell ref="G5:G6"/>
    <mergeCell ref="H5:H6"/>
    <mergeCell ref="A1:R1"/>
    <mergeCell ref="A3:A4"/>
    <mergeCell ref="B3:B4"/>
    <mergeCell ref="C3:C4"/>
    <mergeCell ref="D3:D4"/>
    <mergeCell ref="G3:H3"/>
    <mergeCell ref="I3:R4"/>
    <mergeCell ref="I7:I8"/>
    <mergeCell ref="R7:R8"/>
    <mergeCell ref="A9:A10"/>
    <mergeCell ref="B9:B10"/>
    <mergeCell ref="C9:C10"/>
    <mergeCell ref="D9:D10"/>
    <mergeCell ref="G9:G10"/>
    <mergeCell ref="H9:H10"/>
    <mergeCell ref="I9:I10"/>
    <mergeCell ref="R9:R10"/>
    <mergeCell ref="A7:A8"/>
    <mergeCell ref="B7:B8"/>
    <mergeCell ref="C7:C8"/>
    <mergeCell ref="D7:D8"/>
    <mergeCell ref="G7:G8"/>
    <mergeCell ref="H7:H8"/>
    <mergeCell ref="I11:I12"/>
    <mergeCell ref="R11:R12"/>
    <mergeCell ref="A13:A14"/>
    <mergeCell ref="B13:B14"/>
    <mergeCell ref="C13:C14"/>
    <mergeCell ref="D13:D14"/>
    <mergeCell ref="G13:G14"/>
    <mergeCell ref="H13:H14"/>
    <mergeCell ref="I13:I14"/>
    <mergeCell ref="R13:R14"/>
    <mergeCell ref="A11:A12"/>
    <mergeCell ref="B11:B12"/>
    <mergeCell ref="C11:C12"/>
    <mergeCell ref="D11:D12"/>
    <mergeCell ref="G11:G12"/>
    <mergeCell ref="H11:H12"/>
    <mergeCell ref="I15:I16"/>
    <mergeCell ref="R15:R16"/>
    <mergeCell ref="A18:A19"/>
    <mergeCell ref="B18:B19"/>
    <mergeCell ref="C18:C19"/>
    <mergeCell ref="D18:D19"/>
    <mergeCell ref="G18:H18"/>
    <mergeCell ref="I18:R19"/>
    <mergeCell ref="A15:A16"/>
    <mergeCell ref="B15:B16"/>
    <mergeCell ref="C15:C16"/>
    <mergeCell ref="D15:D16"/>
    <mergeCell ref="G15:G16"/>
    <mergeCell ref="H15:H16"/>
    <mergeCell ref="A20:A21"/>
    <mergeCell ref="B20:B21"/>
    <mergeCell ref="C20:C21"/>
    <mergeCell ref="G20:G21"/>
    <mergeCell ref="H20:H21"/>
    <mergeCell ref="A22:A23"/>
    <mergeCell ref="B22:B23"/>
    <mergeCell ref="C22:C23"/>
    <mergeCell ref="G22:G23"/>
    <mergeCell ref="H22:H23"/>
    <mergeCell ref="L53:N53"/>
    <mergeCell ref="A56:A57"/>
    <mergeCell ref="B56:B57"/>
    <mergeCell ref="C56:C57"/>
    <mergeCell ref="D56:D57"/>
    <mergeCell ref="G56:H56"/>
    <mergeCell ref="I56:R57"/>
    <mergeCell ref="B24:B25"/>
    <mergeCell ref="G24:G25"/>
    <mergeCell ref="H24:H25"/>
    <mergeCell ref="C26:C27"/>
    <mergeCell ref="G26:G27"/>
    <mergeCell ref="H26:H27"/>
    <mergeCell ref="C58:C59"/>
    <mergeCell ref="G58:G59"/>
    <mergeCell ref="H58:H59"/>
    <mergeCell ref="L64:P64"/>
    <mergeCell ref="L68:P68"/>
    <mergeCell ref="C72:C74"/>
    <mergeCell ref="D72:D74"/>
    <mergeCell ref="E72:E73"/>
    <mergeCell ref="F72:F73"/>
    <mergeCell ref="G72:G74"/>
    <mergeCell ref="H72:H74"/>
    <mergeCell ref="C75:C78"/>
    <mergeCell ref="D75:D78"/>
    <mergeCell ref="E75:E76"/>
    <mergeCell ref="F75:F76"/>
    <mergeCell ref="G75:G78"/>
    <mergeCell ref="H75:H78"/>
    <mergeCell ref="E77:E78"/>
    <mergeCell ref="F77:F78"/>
    <mergeCell ref="A80:A81"/>
    <mergeCell ref="B80:B81"/>
    <mergeCell ref="C80:C81"/>
    <mergeCell ref="D80:D81"/>
    <mergeCell ref="G80:H80"/>
    <mergeCell ref="S90:S91"/>
    <mergeCell ref="B94:B95"/>
    <mergeCell ref="G94:G95"/>
    <mergeCell ref="H94:H95"/>
    <mergeCell ref="I80:R81"/>
    <mergeCell ref="I105:R106"/>
    <mergeCell ref="A107:A108"/>
    <mergeCell ref="B107:B108"/>
    <mergeCell ref="C107:C108"/>
    <mergeCell ref="G107:G108"/>
    <mergeCell ref="H107:H108"/>
    <mergeCell ref="A82:A103"/>
    <mergeCell ref="C82:C85"/>
    <mergeCell ref="E82:E83"/>
    <mergeCell ref="F82:F83"/>
    <mergeCell ref="G82:G85"/>
    <mergeCell ref="H82:H85"/>
    <mergeCell ref="D83:D84"/>
    <mergeCell ref="E84:E85"/>
    <mergeCell ref="F84:F85"/>
    <mergeCell ref="C98:C99"/>
    <mergeCell ref="G98:G99"/>
    <mergeCell ref="H98:H99"/>
    <mergeCell ref="C96:C97"/>
    <mergeCell ref="G96:G97"/>
    <mergeCell ref="H96:H97"/>
    <mergeCell ref="C109:C110"/>
    <mergeCell ref="G109:G110"/>
    <mergeCell ref="H109:H110"/>
    <mergeCell ref="A105:A106"/>
    <mergeCell ref="B105:B106"/>
    <mergeCell ref="C105:C106"/>
    <mergeCell ref="D105:D106"/>
    <mergeCell ref="G105:H105"/>
    <mergeCell ref="A115:A116"/>
    <mergeCell ref="G115:G116"/>
    <mergeCell ref="H115:H116"/>
    <mergeCell ref="B117:B118"/>
    <mergeCell ref="G117:G118"/>
    <mergeCell ref="H117:H118"/>
    <mergeCell ref="C111:C114"/>
    <mergeCell ref="E111:E112"/>
    <mergeCell ref="F111:F112"/>
    <mergeCell ref="G111:G114"/>
    <mergeCell ref="H111:H114"/>
    <mergeCell ref="E113:E114"/>
    <mergeCell ref="F113:F114"/>
    <mergeCell ref="L126:M126"/>
    <mergeCell ref="L128:M128"/>
    <mergeCell ref="L129:M129"/>
    <mergeCell ref="E131:E135"/>
    <mergeCell ref="F131:F135"/>
    <mergeCell ref="L131:M131"/>
    <mergeCell ref="L132:M132"/>
    <mergeCell ref="C119:C120"/>
    <mergeCell ref="G119:G120"/>
    <mergeCell ref="H119:H120"/>
    <mergeCell ref="D121:D135"/>
    <mergeCell ref="E121:E129"/>
    <mergeCell ref="F121:F129"/>
    <mergeCell ref="G121:G135"/>
    <mergeCell ref="H121:H135"/>
    <mergeCell ref="L122:M122"/>
    <mergeCell ref="L124:M124"/>
    <mergeCell ref="L130:M130"/>
    <mergeCell ref="L123:M123"/>
    <mergeCell ref="L127:M127"/>
    <mergeCell ref="L133:M133"/>
    <mergeCell ref="A143:A144"/>
    <mergeCell ref="B143:B144"/>
    <mergeCell ref="C143:C144"/>
    <mergeCell ref="D143:D144"/>
    <mergeCell ref="G143:H143"/>
    <mergeCell ref="I143:R144"/>
    <mergeCell ref="G136:G141"/>
    <mergeCell ref="H136:H141"/>
    <mergeCell ref="L136:M136"/>
    <mergeCell ref="L137:M137"/>
    <mergeCell ref="E138:E141"/>
    <mergeCell ref="F138:F141"/>
    <mergeCell ref="L138:M138"/>
    <mergeCell ref="L140:M140"/>
    <mergeCell ref="A134:A136"/>
    <mergeCell ref="B135:B136"/>
    <mergeCell ref="C135:C136"/>
    <mergeCell ref="D136:D141"/>
    <mergeCell ref="E136:E137"/>
    <mergeCell ref="F136:F137"/>
    <mergeCell ref="C145:C146"/>
    <mergeCell ref="G145:G146"/>
    <mergeCell ref="H145:H146"/>
    <mergeCell ref="D147:D161"/>
    <mergeCell ref="D162:D175"/>
    <mergeCell ref="A177:A178"/>
    <mergeCell ref="B177:B178"/>
    <mergeCell ref="C177:C178"/>
    <mergeCell ref="D177:D178"/>
    <mergeCell ref="I177:R178"/>
    <mergeCell ref="D179:D195"/>
    <mergeCell ref="G179:G195"/>
    <mergeCell ref="H179:H195"/>
    <mergeCell ref="G177:H177"/>
    <mergeCell ref="E188:E195"/>
    <mergeCell ref="F188:F195"/>
    <mergeCell ref="E179:E187"/>
    <mergeCell ref="F179:F187"/>
    <mergeCell ref="C196:C197"/>
    <mergeCell ref="G196:G197"/>
    <mergeCell ref="H196:H197"/>
    <mergeCell ref="C198:C206"/>
    <mergeCell ref="D198:D201"/>
    <mergeCell ref="E198:E200"/>
    <mergeCell ref="F198:F200"/>
    <mergeCell ref="G198:G206"/>
    <mergeCell ref="H198:H206"/>
    <mergeCell ref="E201:E206"/>
    <mergeCell ref="F201:F206"/>
    <mergeCell ref="J206:P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A209:A214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R210"/>
    <mergeCell ref="B211:B214"/>
    <mergeCell ref="C211:C212"/>
    <mergeCell ref="D211:D212"/>
    <mergeCell ref="E211:E212"/>
    <mergeCell ref="F211:F212"/>
    <mergeCell ref="G211:G212"/>
    <mergeCell ref="J213:R214"/>
    <mergeCell ref="H211:H212"/>
    <mergeCell ref="I211:I212"/>
    <mergeCell ref="J211:R212"/>
    <mergeCell ref="C213:C214"/>
    <mergeCell ref="D213:D214"/>
    <mergeCell ref="E213:E214"/>
    <mergeCell ref="F213:F214"/>
    <mergeCell ref="G213:G214"/>
    <mergeCell ref="H213:H214"/>
    <mergeCell ref="I213:I214"/>
  </mergeCells>
  <phoneticPr fontId="3" type="noConversion"/>
  <pageMargins left="0.25" right="0.17" top="0.4" bottom="0.22" header="0.3" footer="0.23"/>
  <pageSetup paperSize="9" scale="93" fitToHeight="0" orientation="landscape" r:id="rId1"/>
  <rowBreaks count="6" manualBreakCount="6">
    <brk id="16" max="16383" man="1"/>
    <brk id="54" max="17" man="1"/>
    <brk id="78" max="17" man="1"/>
    <brk id="103" max="17" man="1"/>
    <brk id="141" max="17" man="1"/>
    <brk id="17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세입.세출 총괄표</vt:lpstr>
      <vt:lpstr>2020년 세입세출</vt:lpstr>
      <vt:lpstr>'2020년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강태린</cp:lastModifiedBy>
  <cp:lastPrinted>2019-12-26T04:36:29Z</cp:lastPrinted>
  <dcterms:created xsi:type="dcterms:W3CDTF">2013-12-16T05:42:02Z</dcterms:created>
  <dcterms:modified xsi:type="dcterms:W3CDTF">2019-12-26T07:05:53Z</dcterms:modified>
</cp:coreProperties>
</file>